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RESUPUESTO 2014" sheetId="1" r:id="rId1"/>
    <sheet name="PRESUPUESTO 2015" sheetId="2" r:id="rId2"/>
    <sheet name="Hoja3" sheetId="3" r:id="rId3"/>
  </sheets>
  <definedNames>
    <definedName name="_xlnm.Print_Area" localSheetId="0">'PRESUPUESTO 2014'!$A$1:$R$38</definedName>
  </definedNames>
  <calcPr calcId="145621"/>
</workbook>
</file>

<file path=xl/calcChain.xml><?xml version="1.0" encoding="utf-8"?>
<calcChain xmlns="http://schemas.openxmlformats.org/spreadsheetml/2006/main">
  <c r="E11" i="2" l="1"/>
  <c r="F10" i="2"/>
  <c r="F11" i="2"/>
  <c r="P7" i="2"/>
  <c r="P10" i="2" s="1"/>
  <c r="O7" i="2"/>
  <c r="O10" i="2" s="1"/>
  <c r="N7" i="2"/>
  <c r="N10" i="2" s="1"/>
  <c r="M7" i="2"/>
  <c r="M10" i="2" s="1"/>
  <c r="L7" i="2"/>
  <c r="L10" i="2" s="1"/>
  <c r="K7" i="2"/>
  <c r="K10" i="2" s="1"/>
  <c r="J7" i="2"/>
  <c r="I7" i="2"/>
  <c r="H7" i="2"/>
  <c r="G7" i="2"/>
  <c r="G10" i="2" s="1"/>
  <c r="F7" i="2"/>
  <c r="E7" i="2"/>
  <c r="E10" i="2" s="1"/>
  <c r="P36" i="2" l="1"/>
  <c r="M36" i="2"/>
  <c r="I36" i="2"/>
  <c r="I38" i="2" s="1"/>
  <c r="G11" i="2"/>
  <c r="H11" i="2" s="1"/>
  <c r="I11" i="2" s="1"/>
  <c r="J11" i="2" s="1"/>
  <c r="K11" i="2" s="1"/>
  <c r="L11" i="2" s="1"/>
  <c r="M11" i="2" s="1"/>
  <c r="N11" i="2" s="1"/>
  <c r="O11" i="2" s="1"/>
  <c r="P11" i="2" s="1"/>
  <c r="P38" i="2"/>
  <c r="O38" i="2"/>
  <c r="N38" i="2"/>
  <c r="M38" i="2"/>
  <c r="L38" i="2"/>
  <c r="K38" i="2"/>
  <c r="J38" i="2"/>
  <c r="H38" i="2"/>
  <c r="G38" i="2"/>
  <c r="F38" i="2"/>
  <c r="E38" i="2"/>
  <c r="Q37" i="2"/>
  <c r="Q35" i="2"/>
  <c r="P30" i="2"/>
  <c r="O30" i="2"/>
  <c r="N30" i="2"/>
  <c r="M30" i="2"/>
  <c r="L30" i="2"/>
  <c r="K30" i="2"/>
  <c r="J30" i="2"/>
  <c r="I30" i="2"/>
  <c r="H30" i="2"/>
  <c r="G30" i="2"/>
  <c r="F30" i="2"/>
  <c r="E30" i="2"/>
  <c r="Q29" i="2"/>
  <c r="Q28" i="2"/>
  <c r="Q27" i="2"/>
  <c r="Q26" i="2"/>
  <c r="Q25" i="2"/>
  <c r="P22" i="2"/>
  <c r="O22" i="2"/>
  <c r="N22" i="2"/>
  <c r="M22" i="2"/>
  <c r="L22" i="2"/>
  <c r="L31" i="2" s="1"/>
  <c r="K22" i="2"/>
  <c r="J22" i="2"/>
  <c r="J31" i="2" s="1"/>
  <c r="I22" i="2"/>
  <c r="H22" i="2"/>
  <c r="G22" i="2"/>
  <c r="F22" i="2"/>
  <c r="E22" i="2"/>
  <c r="Q21" i="2"/>
  <c r="Q20" i="2"/>
  <c r="Q19" i="2"/>
  <c r="Q18" i="2"/>
  <c r="Q15" i="2"/>
  <c r="Q14" i="2"/>
  <c r="Q13" i="2"/>
  <c r="Q12" i="2"/>
  <c r="Q8" i="2"/>
  <c r="J10" i="2"/>
  <c r="I10" i="2"/>
  <c r="H10" i="2"/>
  <c r="E16" i="2"/>
  <c r="M31" i="2" l="1"/>
  <c r="Q36" i="2"/>
  <c r="O31" i="2"/>
  <c r="Q38" i="2"/>
  <c r="F31" i="2"/>
  <c r="E31" i="2"/>
  <c r="E33" i="2" s="1"/>
  <c r="G31" i="2"/>
  <c r="P31" i="2"/>
  <c r="N31" i="2"/>
  <c r="I31" i="2"/>
  <c r="K31" i="2"/>
  <c r="H31" i="2"/>
  <c r="Q30" i="2"/>
  <c r="F16" i="2"/>
  <c r="H16" i="2"/>
  <c r="J16" i="2"/>
  <c r="J33" i="2" s="1"/>
  <c r="J39" i="2" s="1"/>
  <c r="L16" i="2"/>
  <c r="L33" i="2" s="1"/>
  <c r="L39" i="2" s="1"/>
  <c r="N16" i="2"/>
  <c r="P16" i="2"/>
  <c r="G16" i="2"/>
  <c r="I16" i="2"/>
  <c r="K16" i="2"/>
  <c r="M16" i="2"/>
  <c r="M33" i="2" s="1"/>
  <c r="M39" i="2" s="1"/>
  <c r="O16" i="2"/>
  <c r="O33" i="2" s="1"/>
  <c r="O39" i="2" s="1"/>
  <c r="Q11" i="2"/>
  <c r="Q22" i="2"/>
  <c r="Q7" i="2"/>
  <c r="Q10" i="2" s="1"/>
  <c r="P37" i="1"/>
  <c r="O37" i="1"/>
  <c r="N37" i="1"/>
  <c r="M37" i="1"/>
  <c r="L37" i="1"/>
  <c r="K37" i="1"/>
  <c r="J37" i="1"/>
  <c r="I37" i="1"/>
  <c r="H37" i="1"/>
  <c r="G37" i="1"/>
  <c r="F37" i="1"/>
  <c r="E37" i="1"/>
  <c r="Q36" i="1"/>
  <c r="Q35" i="1"/>
  <c r="Q34" i="1"/>
  <c r="P29" i="1"/>
  <c r="O29" i="1"/>
  <c r="N29" i="1"/>
  <c r="M29" i="1"/>
  <c r="L29" i="1"/>
  <c r="K29" i="1"/>
  <c r="J29" i="1"/>
  <c r="I29" i="1"/>
  <c r="H29" i="1"/>
  <c r="G29" i="1"/>
  <c r="F29" i="1"/>
  <c r="E29" i="1"/>
  <c r="Q28" i="1"/>
  <c r="Q27" i="1"/>
  <c r="Q26" i="1"/>
  <c r="Q25" i="1"/>
  <c r="Q24" i="1"/>
  <c r="P22" i="1"/>
  <c r="O22" i="1"/>
  <c r="N22" i="1"/>
  <c r="M22" i="1"/>
  <c r="L22" i="1"/>
  <c r="K22" i="1"/>
  <c r="J22" i="1"/>
  <c r="I22" i="1"/>
  <c r="H22" i="1"/>
  <c r="G22" i="1"/>
  <c r="F22" i="1"/>
  <c r="E22" i="1"/>
  <c r="Q21" i="1"/>
  <c r="Q20" i="1"/>
  <c r="Q19" i="1"/>
  <c r="Q18" i="1"/>
  <c r="Q15" i="1"/>
  <c r="Q14" i="1"/>
  <c r="Q13" i="1"/>
  <c r="Q12" i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8" i="1"/>
  <c r="P7" i="1"/>
  <c r="P10" i="1" s="1"/>
  <c r="P16" i="1" s="1"/>
  <c r="O7" i="1"/>
  <c r="O10" i="1" s="1"/>
  <c r="N7" i="1"/>
  <c r="N10" i="1" s="1"/>
  <c r="N16" i="1" s="1"/>
  <c r="M7" i="1"/>
  <c r="M10" i="1" s="1"/>
  <c r="L7" i="1"/>
  <c r="L10" i="1" s="1"/>
  <c r="L16" i="1" s="1"/>
  <c r="K7" i="1"/>
  <c r="K10" i="1" s="1"/>
  <c r="J7" i="1"/>
  <c r="J10" i="1" s="1"/>
  <c r="J16" i="1" s="1"/>
  <c r="I7" i="1"/>
  <c r="I10" i="1" s="1"/>
  <c r="H7" i="1"/>
  <c r="H10" i="1" s="1"/>
  <c r="H16" i="1" s="1"/>
  <c r="G7" i="1"/>
  <c r="G10" i="1" s="1"/>
  <c r="F7" i="1"/>
  <c r="F10" i="1" s="1"/>
  <c r="F16" i="1" s="1"/>
  <c r="E7" i="1"/>
  <c r="E10" i="1" s="1"/>
  <c r="E16" i="1" l="1"/>
  <c r="G16" i="1"/>
  <c r="I16" i="1"/>
  <c r="K16" i="1"/>
  <c r="M16" i="1"/>
  <c r="O16" i="1"/>
  <c r="E30" i="1"/>
  <c r="G30" i="1"/>
  <c r="I30" i="1"/>
  <c r="K30" i="1"/>
  <c r="M30" i="1"/>
  <c r="O30" i="1"/>
  <c r="Q37" i="1"/>
  <c r="F30" i="1"/>
  <c r="H30" i="1"/>
  <c r="H32" i="1" s="1"/>
  <c r="H38" i="1" s="1"/>
  <c r="J30" i="1"/>
  <c r="J32" i="1" s="1"/>
  <c r="J38" i="1" s="1"/>
  <c r="L30" i="1"/>
  <c r="L32" i="1" s="1"/>
  <c r="L38" i="1" s="1"/>
  <c r="N30" i="1"/>
  <c r="N32" i="1" s="1"/>
  <c r="N38" i="1" s="1"/>
  <c r="P30" i="1"/>
  <c r="P32" i="1" s="1"/>
  <c r="P38" i="1" s="1"/>
  <c r="Q29" i="1"/>
  <c r="N33" i="2"/>
  <c r="N39" i="2" s="1"/>
  <c r="F33" i="2"/>
  <c r="F39" i="2" s="1"/>
  <c r="I33" i="2"/>
  <c r="I39" i="2" s="1"/>
  <c r="P33" i="2"/>
  <c r="P39" i="2" s="1"/>
  <c r="Q16" i="2"/>
  <c r="H33" i="2"/>
  <c r="H39" i="2" s="1"/>
  <c r="Q31" i="2"/>
  <c r="K33" i="2"/>
  <c r="K39" i="2" s="1"/>
  <c r="G33" i="2"/>
  <c r="G39" i="2" s="1"/>
  <c r="E39" i="2"/>
  <c r="Q16" i="1"/>
  <c r="E32" i="1"/>
  <c r="Q11" i="1"/>
  <c r="Q22" i="1"/>
  <c r="Q7" i="1"/>
  <c r="Q10" i="1" s="1"/>
  <c r="Q30" i="1" l="1"/>
  <c r="O32" i="1"/>
  <c r="O38" i="1" s="1"/>
  <c r="K32" i="1"/>
  <c r="K38" i="1" s="1"/>
  <c r="G32" i="1"/>
  <c r="G38" i="1" s="1"/>
  <c r="M32" i="1"/>
  <c r="M38" i="1" s="1"/>
  <c r="I32" i="1"/>
  <c r="I38" i="1" s="1"/>
  <c r="F32" i="1"/>
  <c r="F38" i="1" s="1"/>
  <c r="Q33" i="2"/>
  <c r="Q39" i="2"/>
  <c r="E38" i="1"/>
  <c r="Q32" i="1" l="1"/>
  <c r="Q38" i="1"/>
</calcChain>
</file>

<file path=xl/comments1.xml><?xml version="1.0" encoding="utf-8"?>
<comments xmlns="http://schemas.openxmlformats.org/spreadsheetml/2006/main">
  <authors>
    <author>Author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 xml:space="preserve">ingreso promedio clientes por mes: 10
consumo promedio de m3 por cliente: 30 </t>
        </r>
        <r>
          <rPr>
            <sz val="9"/>
            <color indexed="81"/>
            <rFont val="Tahoma"/>
            <family val="2"/>
          </rPr>
          <t xml:space="preserve">
calculo considera. M3 * mes año 2013 + 300 m3 (30 m3 *10 clientes nuevos por mes)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Suma 5 incorporaciones lomas ($3090) y 5 incorporaciones normales ($2060)</t>
        </r>
      </text>
    </comment>
    <comment ref="F11" authorId="0">
      <text>
        <r>
          <rPr>
            <sz val="9"/>
            <color indexed="81"/>
            <rFont val="Tahoma"/>
            <family val="2"/>
          </rPr>
          <t xml:space="preserve"> suma 5 incorporaciones lomas ($3090) y 5incorporaciones normales ($2060)
</t>
        </r>
      </text>
    </comment>
    <comment ref="E12" authorId="0">
      <text>
        <r>
          <rPr>
            <sz val="9"/>
            <color indexed="81"/>
            <rFont val="Tahoma"/>
            <family val="2"/>
          </rPr>
          <t xml:space="preserve">multas e intereses
ajustes certificados, rev proyectos
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multas e intereses
ajustes certificados, rev proyecto altazol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Considera 5 incorporaciones normales a $245.000
5 incorporaciones lomas $871010 (+60.000+ 218990 = 1150000 de inicio)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 arranques a $1.500.000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 xml:space="preserve">considera 5 instalaciones de lomas( traspaso L/P a C/P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instalaciones de lomas( traspaso L/P a C/P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considera 10 (5 lomas y 5 normales) ingresos por mes a $60.000 incorporación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considera 10 (5 lomas y 5 normales) ingresos por mes a $60.000 incorporación</t>
        </r>
      </text>
    </comment>
    <comment ref="E28" authorId="0">
      <text>
        <r>
          <rPr>
            <sz val="9"/>
            <color indexed="81"/>
            <rFont val="Tahoma"/>
            <family val="2"/>
          </rPr>
          <t xml:space="preserve">Telefonos fijos y celulares
seguros, colaciones, asamblea, luz oficinas etc
</t>
        </r>
      </text>
    </comment>
    <comment ref="F28" authorId="0">
      <text>
        <r>
          <rPr>
            <sz val="9"/>
            <color indexed="81"/>
            <rFont val="Tahoma"/>
            <family val="2"/>
          </rPr>
          <t xml:space="preserve">Telefonos fijos y celulares
seguros, colaciones, </t>
        </r>
        <r>
          <rPr>
            <b/>
            <sz val="9"/>
            <color indexed="81"/>
            <rFont val="Tahoma"/>
            <family val="2"/>
          </rPr>
          <t>asamblea</t>
        </r>
        <r>
          <rPr>
            <sz val="9"/>
            <color indexed="81"/>
            <rFont val="Tahoma"/>
            <family val="2"/>
          </rPr>
          <t xml:space="preserve">, luz oficinas etc
</t>
        </r>
      </text>
    </comment>
    <comment ref="G28" authorId="0">
      <text>
        <r>
          <rPr>
            <sz val="9"/>
            <color indexed="81"/>
            <rFont val="Tahoma"/>
            <family val="2"/>
          </rPr>
          <t xml:space="preserve">Telefonos fijos y celulares
seguros, colaciones, </t>
        </r>
        <r>
          <rPr>
            <b/>
            <sz val="9"/>
            <color indexed="81"/>
            <rFont val="Tahoma"/>
            <family val="2"/>
          </rPr>
          <t>asamblea</t>
        </r>
        <r>
          <rPr>
            <sz val="9"/>
            <color indexed="81"/>
            <rFont val="Tahoma"/>
            <family val="2"/>
          </rPr>
          <t xml:space="preserve">, luz oficinas etc
</t>
        </r>
      </text>
    </comment>
    <comment ref="H28" authorId="0">
      <text>
        <r>
          <rPr>
            <sz val="9"/>
            <color indexed="81"/>
            <rFont val="Tahoma"/>
            <family val="2"/>
          </rPr>
          <t xml:space="preserve">Telefonos fijos y celulares
seguros, colaciones, </t>
        </r>
        <r>
          <rPr>
            <b/>
            <sz val="9"/>
            <color indexed="81"/>
            <rFont val="Tahoma"/>
            <family val="2"/>
          </rPr>
          <t>asamblea</t>
        </r>
        <r>
          <rPr>
            <sz val="9"/>
            <color indexed="81"/>
            <rFont val="Tahoma"/>
            <family val="2"/>
          </rPr>
          <t xml:space="preserve">, luz oficinas etc
</t>
        </r>
      </text>
    </comment>
    <comment ref="E34" authorId="0">
      <text>
        <r>
          <rPr>
            <sz val="9"/>
            <color indexed="81"/>
            <rFont val="Tahoma"/>
            <family val="2"/>
          </rPr>
          <t xml:space="preserve">arriendo el bosque
otros ingresos
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bomberos</t>
        </r>
        <r>
          <rPr>
            <sz val="9"/>
            <color indexed="81"/>
            <rFont val="Tahoma"/>
            <family val="2"/>
          </rPr>
          <t xml:space="preserve">
y escuelas etc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interes cred 1
interes cred 2
comision cred 2
interes leasing
intereses bancarios ganados</t>
        </r>
      </text>
    </comment>
    <comment ref="K3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interes cred 1
interes cred 2
comision cred 2
</t>
        </r>
        <r>
          <rPr>
            <b/>
            <sz val="9"/>
            <color indexed="81"/>
            <rFont val="Tahoma"/>
            <family val="2"/>
          </rPr>
          <t>interes leasing--&gt; terminado!</t>
        </r>
        <r>
          <rPr>
            <sz val="9"/>
            <color indexed="81"/>
            <rFont val="Tahoma"/>
            <family val="2"/>
          </rPr>
          <t xml:space="preserve">
intereses bancarios ganados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 xml:space="preserve">ingreso promedio clientes por mes: 10
consumo promedio de m3 por cliente: 30 </t>
        </r>
        <r>
          <rPr>
            <sz val="9"/>
            <color indexed="81"/>
            <rFont val="Tahoma"/>
            <family val="2"/>
          </rPr>
          <t xml:space="preserve">
calculo considera. M3 * mes año 2014 + 300 m3 (30 m3 *10 clientes nuevos por mes)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alza de tarifa en un 4%  valor standard de m3 $470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Suma 5 incorporaciones lomas ($3090) y 5 incorporaciones normales ($2060)</t>
        </r>
      </text>
    </comment>
    <comment ref="F11" authorId="0">
      <text>
        <r>
          <rPr>
            <sz val="9"/>
            <color indexed="81"/>
            <rFont val="Tahoma"/>
            <family val="2"/>
          </rPr>
          <t xml:space="preserve"> suma 5 incorporaciones lomas ($3090) y 5incorporaciones normales ($2060)
</t>
        </r>
      </text>
    </comment>
    <comment ref="K11" authorId="0">
      <text>
        <r>
          <rPr>
            <sz val="9"/>
            <color indexed="81"/>
            <rFont val="Tahoma"/>
            <family val="2"/>
          </rPr>
          <t>Alza tarifa mes de Julio 40$ al cargo fijo 
cf 3/4   $3.220 *5 incorporaciones
CF 1/2   $2.150 *5 incorporaciones</t>
        </r>
      </text>
    </comment>
    <comment ref="E12" authorId="0">
      <text>
        <r>
          <rPr>
            <sz val="9"/>
            <color indexed="81"/>
            <rFont val="Tahoma"/>
            <family val="2"/>
          </rPr>
          <t xml:space="preserve">multas e intereses
ajustes certificados, rev proyectos
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multas e intereses
ajustes certificados, rev proyecto altazol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Considera 5 incorporaciones normales a $260.000
5 incorporaciones lomas $871010 (+60.000+ 218990 = 1150000 de inicio)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 arranques a $1.500.000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 xml:space="preserve">considera 5 instalaciones de lomas( traspaso L/P a C/P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instalaciones de lomas( traspaso L/P a C/P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considera 10 (5 lomas y 5 normales) ingresos por mes a $60.000 incorporación
2 incorporaciones colonias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considera 10 (5 lomas y 5 normales) ingresos por mes a $60.000 incorporación</t>
        </r>
      </text>
    </comment>
    <comment ref="F29" authorId="0">
      <text>
        <r>
          <rPr>
            <sz val="9"/>
            <color indexed="81"/>
            <rFont val="Tahoma"/>
            <family val="2"/>
          </rPr>
          <t xml:space="preserve">Telefonos fijos y celulares
seguros, colaciones, </t>
        </r>
        <r>
          <rPr>
            <b/>
            <sz val="9"/>
            <color indexed="81"/>
            <rFont val="Tahoma"/>
            <family val="2"/>
          </rPr>
          <t>asamblea</t>
        </r>
        <r>
          <rPr>
            <sz val="9"/>
            <color indexed="81"/>
            <rFont val="Tahoma"/>
            <family val="2"/>
          </rPr>
          <t xml:space="preserve">, luz oficinas etc
</t>
        </r>
      </text>
    </comment>
    <comment ref="G29" authorId="0">
      <text>
        <r>
          <rPr>
            <sz val="9"/>
            <color indexed="81"/>
            <rFont val="Tahoma"/>
            <family val="2"/>
          </rPr>
          <t xml:space="preserve">Telefonos fijos y celulares
seguros, colaciones, </t>
        </r>
        <r>
          <rPr>
            <b/>
            <sz val="9"/>
            <color indexed="81"/>
            <rFont val="Tahoma"/>
            <family val="2"/>
          </rPr>
          <t>asamblea</t>
        </r>
        <r>
          <rPr>
            <sz val="9"/>
            <color indexed="81"/>
            <rFont val="Tahoma"/>
            <family val="2"/>
          </rPr>
          <t xml:space="preserve">, luz oficinas etc
</t>
        </r>
      </text>
    </comment>
    <comment ref="H29" authorId="0">
      <text>
        <r>
          <rPr>
            <sz val="9"/>
            <color indexed="81"/>
            <rFont val="Tahoma"/>
            <family val="2"/>
          </rPr>
          <t xml:space="preserve">Telefonos fijos y celulares
seguros, colaciones, </t>
        </r>
        <r>
          <rPr>
            <b/>
            <sz val="9"/>
            <color indexed="81"/>
            <rFont val="Tahoma"/>
            <family val="2"/>
          </rPr>
          <t>asamblea</t>
        </r>
        <r>
          <rPr>
            <sz val="9"/>
            <color indexed="81"/>
            <rFont val="Tahoma"/>
            <family val="2"/>
          </rPr>
          <t xml:space="preserve">, luz oficinas etc
</t>
        </r>
      </text>
    </comment>
    <comment ref="E35" authorId="0">
      <text>
        <r>
          <rPr>
            <sz val="9"/>
            <color indexed="81"/>
            <rFont val="Tahoma"/>
            <family val="2"/>
          </rPr>
          <t xml:space="preserve">arriendo el bosque
otros ingresos
</t>
        </r>
      </text>
    </comment>
    <comment ref="L35" authorId="0">
      <text>
        <r>
          <rPr>
            <b/>
            <sz val="9"/>
            <color indexed="81"/>
            <rFont val="Tahoma"/>
            <family val="2"/>
          </rPr>
          <t>intereses ganados cta ahorro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bomberos</t>
        </r>
        <r>
          <rPr>
            <sz val="9"/>
            <color indexed="81"/>
            <rFont val="Tahoma"/>
            <family val="2"/>
          </rPr>
          <t xml:space="preserve">
y escuelas etc</t>
        </r>
      </text>
    </comment>
    <comment ref="I36" authorId="0">
      <text>
        <r>
          <rPr>
            <b/>
            <sz val="9"/>
            <color indexed="81"/>
            <rFont val="Tahoma"/>
            <family val="2"/>
          </rPr>
          <t>$200.000 bomberos
$200.000 donaciones escuelas</t>
        </r>
      </text>
    </comment>
    <comment ref="M36" authorId="0">
      <text>
        <r>
          <rPr>
            <sz val="9"/>
            <color indexed="81"/>
            <rFont val="Tahoma"/>
            <family val="2"/>
          </rPr>
          <t xml:space="preserve">$200.000 bomberos
$200.00 donaciones escuelas
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>$200.000 bomberos
$200.000 donaciones escuelas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interes cred 1
interes cred 2
comision cred 2
interes leasing
intereses bancarios ganados</t>
        </r>
      </text>
    </comment>
    <comment ref="K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interes cred 1
interes cred 2
comision cred 2
</t>
        </r>
        <r>
          <rPr>
            <b/>
            <sz val="9"/>
            <color indexed="81"/>
            <rFont val="Tahoma"/>
            <family val="2"/>
          </rPr>
          <t>interes leasing--&gt; terminado!</t>
        </r>
        <r>
          <rPr>
            <sz val="9"/>
            <color indexed="81"/>
            <rFont val="Tahoma"/>
            <family val="2"/>
          </rPr>
          <t xml:space="preserve">
intereses bancarios ganados</t>
        </r>
      </text>
    </comment>
  </commentList>
</comments>
</file>

<file path=xl/sharedStrings.xml><?xml version="1.0" encoding="utf-8"?>
<sst xmlns="http://schemas.openxmlformats.org/spreadsheetml/2006/main" count="92" uniqueCount="46">
  <si>
    <t>PRESUPUESTO ESTADO DE RESULTADO 2014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</si>
  <si>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</si>
  <si>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</si>
  <si>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</si>
  <si>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</si>
  <si>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</si>
  <si>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</si>
  <si>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</si>
  <si>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</si>
  <si>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SEPT.</t>
  </si>
  <si>
    <t>OCT.</t>
  </si>
  <si>
    <t>N0V.</t>
  </si>
  <si>
    <t>DIC.</t>
  </si>
  <si>
    <t>TOTAL</t>
  </si>
  <si>
    <t>M3 Agua Potable Presupuesto</t>
  </si>
  <si>
    <t>M3 Agua Potable año 2013</t>
  </si>
  <si>
    <t>INGRESO OPERACIONAL</t>
  </si>
  <si>
    <t>Agua Potable</t>
  </si>
  <si>
    <t>Cargos Fijos</t>
  </si>
  <si>
    <r>
      <t>Reparac,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Multas</t>
    </r>
    <r>
      <rPr>
        <sz val="10"/>
        <rFont val="Arial"/>
        <family val="2"/>
      </rPr>
      <t>, Repos,Certif y otros</t>
    </r>
  </si>
  <si>
    <t>Contratacion y Construccion Arranques</t>
  </si>
  <si>
    <t>Activacion arranques Lomas L/P</t>
  </si>
  <si>
    <t>Cuotas e incorporación</t>
  </si>
  <si>
    <t>COSTO OPERACIONAL</t>
  </si>
  <si>
    <t>Remuneraciones</t>
  </si>
  <si>
    <t>Energia Electrica</t>
  </si>
  <si>
    <t>Gastos operacionales</t>
  </si>
  <si>
    <t>Reparaciones y otros</t>
  </si>
  <si>
    <t>SUB TOTAL</t>
  </si>
  <si>
    <t xml:space="preserve">GASTOS ADMINISTRACION Y COMERCIAL </t>
  </si>
  <si>
    <t>Insumos y materiales</t>
  </si>
  <si>
    <t>Honorarios , Viaticos, Dietas</t>
  </si>
  <si>
    <t>Gastos institucionales</t>
  </si>
  <si>
    <t>Servicios Administrativos</t>
  </si>
  <si>
    <t>RESULTADO OPERACIONAL</t>
  </si>
  <si>
    <t>INGRESO / EGRESO NO OPERACIONAL</t>
  </si>
  <si>
    <t>Otros ingresos/egresos</t>
  </si>
  <si>
    <t>Donaciones</t>
  </si>
  <si>
    <t>Ingresos Financieros/gastos bancarios</t>
  </si>
  <si>
    <t>RESULTADO NO OPERACIONAL</t>
  </si>
  <si>
    <t>RESULTADO ANTES DE DEPRECIACION</t>
  </si>
  <si>
    <t>PRESUPUESTO ESTADO DE RESULTADO 2015</t>
  </si>
  <si>
    <t>Donaciones bomberos y otros</t>
  </si>
  <si>
    <t>M3 Agua Potable año 2014 Real</t>
  </si>
  <si>
    <t>5% reajuste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</si>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</sst>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#,##0\ _€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164" fontId="0" fillId="0" borderId="0" xfId="1" applyNumberFormat="1" applyFont="1"/>
    <xf numFmtId="0" fontId="0" fillId="0" borderId="9" xfId="0" applyBorder="1"/>
    <xf numFmtId="0" fontId="0" fillId="0" borderId="10" xfId="0" applyBorder="1"/>
    <xf numFmtId="164" fontId="4" fillId="0" borderId="11" xfId="1" applyNumberFormat="1" applyFont="1" applyBorder="1" applyAlignment="1">
      <alignment horizontal="center"/>
    </xf>
    <xf numFmtId="0" fontId="4" fillId="0" borderId="4" xfId="0" applyFont="1" applyBorder="1" applyAlignment="1"/>
    <xf numFmtId="0" fontId="0" fillId="0" borderId="0" xfId="0" applyFont="1" applyBorder="1" applyAlignment="1"/>
    <xf numFmtId="0" fontId="0" fillId="0" borderId="5" xfId="0" applyFont="1" applyBorder="1" applyAlignment="1"/>
    <xf numFmtId="164" fontId="0" fillId="0" borderId="12" xfId="1" applyNumberFormat="1" applyFont="1" applyBorder="1"/>
    <xf numFmtId="164" fontId="0" fillId="3" borderId="13" xfId="1" applyNumberFormat="1" applyFont="1" applyFill="1" applyBorder="1"/>
    <xf numFmtId="0" fontId="2" fillId="3" borderId="0" xfId="0" applyFont="1" applyFill="1"/>
    <xf numFmtId="0" fontId="4" fillId="4" borderId="0" xfId="0" applyFont="1" applyFill="1" applyBorder="1" applyAlignment="1"/>
    <xf numFmtId="0" fontId="0" fillId="4" borderId="0" xfId="0" applyFont="1" applyFill="1" applyBorder="1" applyAlignment="1"/>
    <xf numFmtId="0" fontId="0" fillId="4" borderId="5" xfId="0" applyFont="1" applyFill="1" applyBorder="1" applyAlignment="1"/>
    <xf numFmtId="164" fontId="0" fillId="3" borderId="14" xfId="1" applyNumberFormat="1" applyFont="1" applyFill="1" applyBorder="1"/>
    <xf numFmtId="0" fontId="4" fillId="0" borderId="15" xfId="0" applyFont="1" applyBorder="1" applyAlignment="1"/>
    <xf numFmtId="0" fontId="4" fillId="0" borderId="16" xfId="0" applyFont="1" applyBorder="1" applyAlignment="1"/>
    <xf numFmtId="0" fontId="4" fillId="0" borderId="17" xfId="0" applyFont="1" applyBorder="1" applyAlignment="1"/>
    <xf numFmtId="164" fontId="0" fillId="0" borderId="18" xfId="1" applyNumberFormat="1" applyFont="1" applyBorder="1"/>
    <xf numFmtId="164" fontId="0" fillId="0" borderId="19" xfId="1" applyNumberFormat="1" applyFont="1" applyBorder="1"/>
    <xf numFmtId="0" fontId="0" fillId="0" borderId="4" xfId="0" applyFont="1" applyBorder="1" applyAlignment="1"/>
    <xf numFmtId="0" fontId="0" fillId="0" borderId="4" xfId="0" applyFont="1" applyBorder="1"/>
    <xf numFmtId="0" fontId="0" fillId="0" borderId="0" xfId="0" applyBorder="1"/>
    <xf numFmtId="164" fontId="0" fillId="5" borderId="12" xfId="1" applyNumberFormat="1" applyFont="1" applyFill="1" applyBorder="1"/>
    <xf numFmtId="0" fontId="0" fillId="5" borderId="0" xfId="0" applyFill="1"/>
    <xf numFmtId="0" fontId="0" fillId="0" borderId="4" xfId="0" applyBorder="1"/>
    <xf numFmtId="164" fontId="0" fillId="0" borderId="12" xfId="1" applyNumberFormat="1" applyFont="1" applyFill="1" applyBorder="1"/>
    <xf numFmtId="164" fontId="0" fillId="0" borderId="12" xfId="1" applyNumberFormat="1" applyFont="1" applyFill="1" applyBorder="1" applyAlignment="1">
      <alignment horizontal="center"/>
    </xf>
    <xf numFmtId="0" fontId="4" fillId="0" borderId="20" xfId="0" applyFont="1" applyBorder="1"/>
    <xf numFmtId="0" fontId="0" fillId="0" borderId="16" xfId="0" applyBorder="1"/>
    <xf numFmtId="164" fontId="4" fillId="0" borderId="18" xfId="1" applyNumberFormat="1" applyFont="1" applyBorder="1"/>
    <xf numFmtId="0" fontId="4" fillId="0" borderId="4" xfId="0" applyFont="1" applyBorder="1"/>
    <xf numFmtId="164" fontId="0" fillId="0" borderId="21" xfId="1" applyNumberFormat="1" applyFont="1" applyFill="1" applyBorder="1"/>
    <xf numFmtId="0" fontId="0" fillId="0" borderId="17" xfId="0" applyBorder="1"/>
    <xf numFmtId="164" fontId="4" fillId="0" borderId="22" xfId="1" applyNumberFormat="1" applyFont="1" applyBorder="1"/>
    <xf numFmtId="0" fontId="4" fillId="0" borderId="23" xfId="0" applyFont="1" applyBorder="1"/>
    <xf numFmtId="0" fontId="0" fillId="0" borderId="24" xfId="0" applyBorder="1"/>
    <xf numFmtId="164" fontId="0" fillId="0" borderId="25" xfId="1" applyNumberFormat="1" applyFont="1" applyBorder="1"/>
    <xf numFmtId="0" fontId="4" fillId="6" borderId="20" xfId="0" applyFont="1" applyFill="1" applyBorder="1"/>
    <xf numFmtId="0" fontId="0" fillId="6" borderId="16" xfId="0" applyFill="1" applyBorder="1"/>
    <xf numFmtId="164" fontId="0" fillId="6" borderId="18" xfId="1" applyNumberFormat="1" applyFont="1" applyFill="1" applyBorder="1"/>
    <xf numFmtId="164" fontId="0" fillId="0" borderId="0" xfId="0" applyNumberFormat="1"/>
    <xf numFmtId="0" fontId="4" fillId="6" borderId="26" xfId="0" applyFont="1" applyFill="1" applyBorder="1"/>
    <xf numFmtId="0" fontId="0" fillId="6" borderId="27" xfId="0" applyFill="1" applyBorder="1"/>
    <xf numFmtId="164" fontId="0" fillId="0" borderId="28" xfId="1" applyNumberFormat="1" applyFont="1" applyFill="1" applyBorder="1"/>
    <xf numFmtId="0" fontId="6" fillId="0" borderId="0" xfId="0" applyFont="1"/>
    <xf numFmtId="0" fontId="4" fillId="0" borderId="9" xfId="0" applyFont="1" applyFill="1" applyBorder="1"/>
    <xf numFmtId="0" fontId="0" fillId="0" borderId="10" xfId="0" applyFill="1" applyBorder="1"/>
    <xf numFmtId="164" fontId="0" fillId="7" borderId="11" xfId="1" applyNumberFormat="1" applyFont="1" applyFill="1" applyBorder="1"/>
    <xf numFmtId="164" fontId="0" fillId="0" borderId="11" xfId="1" applyNumberFormat="1" applyFont="1" applyFill="1" applyBorder="1"/>
    <xf numFmtId="0" fontId="4" fillId="0" borderId="9" xfId="0" applyFont="1" applyBorder="1"/>
    <xf numFmtId="164" fontId="0" fillId="0" borderId="11" xfId="1" applyNumberFormat="1" applyFont="1" applyBorder="1"/>
    <xf numFmtId="0" fontId="0" fillId="0" borderId="29" xfId="0" applyBorder="1"/>
    <xf numFmtId="164" fontId="4" fillId="0" borderId="11" xfId="1" applyNumberFormat="1" applyFont="1" applyBorder="1"/>
    <xf numFmtId="164" fontId="4" fillId="0" borderId="11" xfId="1" applyNumberFormat="1" applyFont="1" applyFill="1" applyBorder="1"/>
    <xf numFmtId="37" fontId="0" fillId="0" borderId="12" xfId="1" applyNumberFormat="1" applyFont="1" applyBorder="1" applyAlignment="1">
      <alignment horizontal="center"/>
    </xf>
    <xf numFmtId="37" fontId="0" fillId="0" borderId="11" xfId="1" applyNumberFormat="1" applyFont="1" applyBorder="1" applyAlignment="1">
      <alignment horizontal="center"/>
    </xf>
    <xf numFmtId="165" fontId="0" fillId="4" borderId="13" xfId="0" applyNumberFormat="1" applyFill="1" applyBorder="1" applyAlignment="1">
      <alignment horizontal="center" vertical="top"/>
    </xf>
    <xf numFmtId="165" fontId="0" fillId="4" borderId="12" xfId="1" applyNumberFormat="1" applyFont="1" applyFill="1" applyBorder="1" applyAlignment="1">
      <alignment horizontal="center"/>
    </xf>
    <xf numFmtId="165" fontId="0" fillId="8" borderId="12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0" fillId="9" borderId="12" xfId="1" applyNumberFormat="1" applyFont="1" applyFill="1" applyBorder="1"/>
    <xf numFmtId="164" fontId="0" fillId="9" borderId="21" xfId="1" applyNumberFormat="1" applyFont="1" applyFill="1" applyBorder="1"/>
    <xf numFmtId="164" fontId="4" fillId="9" borderId="22" xfId="1" applyNumberFormat="1" applyFont="1" applyFill="1" applyBorder="1"/>
    <xf numFmtId="164" fontId="0" fillId="9" borderId="18" xfId="1" applyNumberFormat="1" applyFont="1" applyFill="1" applyBorder="1"/>
    <xf numFmtId="164" fontId="0" fillId="9" borderId="25" xfId="1" applyNumberFormat="1" applyFont="1" applyFill="1" applyBorder="1"/>
    <xf numFmtId="0" fontId="2" fillId="9" borderId="0" xfId="0" applyFont="1" applyFill="1"/>
    <xf numFmtId="164" fontId="0" fillId="0" borderId="12" xfId="1" applyNumberFormat="1" applyFont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164" fontId="0" fillId="9" borderId="11" xfId="1" applyNumberFormat="1" applyFont="1" applyFill="1" applyBorder="1" applyAlignment="1">
      <alignment vertical="center"/>
    </xf>
    <xf numFmtId="37" fontId="0" fillId="4" borderId="13" xfId="0" applyNumberFormat="1" applyFill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4" borderId="12" xfId="1" applyNumberFormat="1" applyFont="1" applyFill="1" applyBorder="1" applyAlignment="1">
      <alignment horizontal="center" vertical="center"/>
    </xf>
    <xf numFmtId="164" fontId="0" fillId="4" borderId="14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48746</xdr:colOff>
      <xdr:row>0</xdr:row>
      <xdr:rowOff>79375</xdr:rowOff>
    </xdr:from>
    <xdr:to>
      <xdr:col>3</xdr:col>
      <xdr:colOff>239784</xdr:colOff>
      <xdr:row>1</xdr:row>
      <xdr:rowOff>666750</xdr:rowOff>
    </xdr:to>
    <xdr:pic>
      <xdr:nvPicPr>
        <xdr:cNvPr id="4" name="Picture 3" descr="Fesan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46" y="79375"/>
          <a:ext cx="1619788" cy="77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86286</xdr:colOff>
      <xdr:row>0</xdr:row>
      <xdr:rowOff>33617</xdr:rowOff>
    </xdr:from>
    <xdr:to>
      <xdr:col>2</xdr:col>
      <xdr:colOff>143926</xdr:colOff>
      <xdr:row>1</xdr:row>
      <xdr:rowOff>425824</xdr:rowOff>
    </xdr:to>
    <xdr:pic>
      <xdr:nvPicPr>
        <xdr:cNvPr id="3" name="Picture 2" descr="Fesan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86" y="33617"/>
          <a:ext cx="1223052" cy="582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40"/>
  <sheetViews>
    <sheetView tabSelected="1" view="pageBreakPreview" topLeftCell="A19" zoomScale="60" zoomScaleNormal="85" workbookViewId="0">
      <selection activeCell="R38" sqref="A1:R38"/>
    </sheetView>
  </sheetViews>
  <sheetFormatPr defaultColWidth="11.42578125" defaultRowHeight="15" x14ac:dyDescent="0.25"/>
  <cols>
    <col min="1" max="1" width="10" customWidth="1"/>
    <col min="2" max="2" width="7.42578125" customWidth="1"/>
    <col min="3" max="3" width="4.140625" customWidth="1"/>
    <col min="4" max="4" width="23" customWidth="1"/>
    <col min="5" max="16" width="16.85546875" style="1" bestFit="1" customWidth="1"/>
    <col min="17" max="17" width="19.140625" style="1" bestFit="1" customWidth="1"/>
    <col min="18" max="18" width="7.85546875" customWidth="1"/>
    <col min="19" max="19" width="12.85546875" customWidth="1"/>
  </cols>
  <sheetData>
    <row r="2" spans="1:20" ht="54.75" customHeight="1" thickBot="1" x14ac:dyDescent="0.3"/>
    <row r="3" spans="1:20" ht="18.75" customHeight="1" x14ac:dyDescent="0.25">
      <c r="A3" s="60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</row>
    <row r="4" spans="1:20" ht="11.25" customHeight="1" x14ac:dyDescent="0.2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20" ht="21" customHeight="1" thickBot="1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</row>
    <row r="6" spans="1:20" ht="15.75" thickBot="1" x14ac:dyDescent="0.3">
      <c r="A6" s="2"/>
      <c r="B6" s="3"/>
      <c r="C6" s="3"/>
      <c r="D6" s="3"/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</row>
    <row r="7" spans="1:20" ht="15.75" thickBot="1" x14ac:dyDescent="0.3">
      <c r="A7" s="5" t="s">
        <v>14</v>
      </c>
      <c r="B7" s="6"/>
      <c r="C7" s="6"/>
      <c r="D7" s="7"/>
      <c r="E7" s="79">
        <f>E8+300*1</f>
        <v>52799</v>
      </c>
      <c r="F7" s="75">
        <f>F8+300*2</f>
        <v>48051</v>
      </c>
      <c r="G7" s="75">
        <f>G8+300*3</f>
        <v>44689</v>
      </c>
      <c r="H7" s="76">
        <f>H8+300*4</f>
        <v>35605</v>
      </c>
      <c r="I7" s="76">
        <f>I8+300*5</f>
        <v>40972</v>
      </c>
      <c r="J7" s="76">
        <f>J8+300*6</f>
        <v>30652</v>
      </c>
      <c r="K7" s="76">
        <f>K8+300*7</f>
        <v>32179</v>
      </c>
      <c r="L7" s="76">
        <f>L8+300*8</f>
        <v>39056</v>
      </c>
      <c r="M7" s="76">
        <f>M8+300*9</f>
        <v>37301</v>
      </c>
      <c r="N7" s="76">
        <f>N8+300*10</f>
        <v>43108</v>
      </c>
      <c r="O7" s="76">
        <f>O8+300*11</f>
        <v>50480</v>
      </c>
      <c r="P7" s="76">
        <f>P8+300*12</f>
        <v>56600</v>
      </c>
      <c r="Q7" s="77">
        <f>SUM(E7:P7)</f>
        <v>511492</v>
      </c>
      <c r="R7" s="74"/>
    </row>
    <row r="8" spans="1:20" ht="15.75" thickBot="1" x14ac:dyDescent="0.3">
      <c r="A8" s="11" t="s">
        <v>15</v>
      </c>
      <c r="B8" s="12"/>
      <c r="C8" s="12"/>
      <c r="D8" s="13"/>
      <c r="E8" s="78">
        <v>52499</v>
      </c>
      <c r="F8" s="78">
        <v>47451</v>
      </c>
      <c r="G8" s="78">
        <v>43789</v>
      </c>
      <c r="H8" s="80">
        <v>34405</v>
      </c>
      <c r="I8" s="80">
        <v>39472</v>
      </c>
      <c r="J8" s="80">
        <v>28852</v>
      </c>
      <c r="K8" s="80">
        <v>30079</v>
      </c>
      <c r="L8" s="80">
        <v>36656</v>
      </c>
      <c r="M8" s="80">
        <v>34601</v>
      </c>
      <c r="N8" s="80">
        <v>40108</v>
      </c>
      <c r="O8" s="80">
        <v>47180</v>
      </c>
      <c r="P8" s="80">
        <v>53000</v>
      </c>
      <c r="Q8" s="81">
        <f>SUM(E8:P8)</f>
        <v>488092</v>
      </c>
      <c r="S8" t="s">
        <v>45</v>
      </c>
    </row>
    <row r="9" spans="1:20" ht="15.75" thickBot="1" x14ac:dyDescent="0.3">
      <c r="A9" s="15" t="s">
        <v>16</v>
      </c>
      <c r="B9" s="16"/>
      <c r="C9" s="16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20" ht="15.75" thickTop="1" x14ac:dyDescent="0.25">
      <c r="A10" s="20" t="s">
        <v>17</v>
      </c>
      <c r="B10" s="6"/>
      <c r="C10" s="6"/>
      <c r="D10" s="7"/>
      <c r="E10" s="8">
        <f>E7*450</f>
        <v>23759550</v>
      </c>
      <c r="F10" s="8">
        <f t="shared" ref="F10:P10" si="0">F7*450</f>
        <v>21622950</v>
      </c>
      <c r="G10" s="8">
        <f t="shared" si="0"/>
        <v>20110050</v>
      </c>
      <c r="H10" s="8">
        <f t="shared" si="0"/>
        <v>16022250</v>
      </c>
      <c r="I10" s="8">
        <f t="shared" si="0"/>
        <v>18437400</v>
      </c>
      <c r="J10" s="8">
        <f t="shared" si="0"/>
        <v>13793400</v>
      </c>
      <c r="K10" s="8">
        <f t="shared" si="0"/>
        <v>14480550</v>
      </c>
      <c r="L10" s="8">
        <f t="shared" si="0"/>
        <v>17575200</v>
      </c>
      <c r="M10" s="8">
        <f t="shared" si="0"/>
        <v>16785450</v>
      </c>
      <c r="N10" s="8">
        <f t="shared" si="0"/>
        <v>19398600</v>
      </c>
      <c r="O10" s="8">
        <f t="shared" si="0"/>
        <v>22716000</v>
      </c>
      <c r="P10" s="8">
        <f t="shared" si="0"/>
        <v>25470000</v>
      </c>
      <c r="Q10" s="8">
        <f t="shared" ref="Q10" si="1">450*Q7</f>
        <v>230171400</v>
      </c>
    </row>
    <row r="11" spans="1:20" x14ac:dyDescent="0.25">
      <c r="A11" s="21" t="s">
        <v>18</v>
      </c>
      <c r="B11" s="22"/>
      <c r="C11" s="22"/>
      <c r="D11" s="22"/>
      <c r="E11" s="23">
        <f>3910910+25750</f>
        <v>3936660</v>
      </c>
      <c r="F11" s="23">
        <f>E11+25750</f>
        <v>3962410</v>
      </c>
      <c r="G11" s="23">
        <f>F11+25750</f>
        <v>3988160</v>
      </c>
      <c r="H11" s="23">
        <f t="shared" ref="H11:P11" si="2">G11+25750</f>
        <v>4013910</v>
      </c>
      <c r="I11" s="23">
        <f t="shared" si="2"/>
        <v>4039660</v>
      </c>
      <c r="J11" s="23">
        <f t="shared" si="2"/>
        <v>4065410</v>
      </c>
      <c r="K11" s="23">
        <f t="shared" si="2"/>
        <v>4091160</v>
      </c>
      <c r="L11" s="23">
        <f t="shared" si="2"/>
        <v>4116910</v>
      </c>
      <c r="M11" s="23">
        <f t="shared" si="2"/>
        <v>4142660</v>
      </c>
      <c r="N11" s="23">
        <f t="shared" si="2"/>
        <v>4168410</v>
      </c>
      <c r="O11" s="23">
        <f t="shared" si="2"/>
        <v>4194160</v>
      </c>
      <c r="P11" s="23">
        <f t="shared" si="2"/>
        <v>4219910</v>
      </c>
      <c r="Q11" s="23">
        <f t="shared" ref="Q11:Q16" si="3">SUM(E11:P11)</f>
        <v>48939420</v>
      </c>
      <c r="R11" s="24"/>
      <c r="S11" s="24"/>
      <c r="T11" s="24"/>
    </row>
    <row r="12" spans="1:20" x14ac:dyDescent="0.25">
      <c r="A12" s="25" t="s">
        <v>19</v>
      </c>
      <c r="B12" s="22"/>
      <c r="C12" s="22"/>
      <c r="D12" s="22"/>
      <c r="E12" s="26">
        <v>100000</v>
      </c>
      <c r="F12" s="26">
        <v>100000</v>
      </c>
      <c r="G12" s="26">
        <v>100000</v>
      </c>
      <c r="H12" s="26">
        <v>100000</v>
      </c>
      <c r="I12" s="26">
        <v>100000</v>
      </c>
      <c r="J12" s="26">
        <v>100000</v>
      </c>
      <c r="K12" s="26">
        <v>100000</v>
      </c>
      <c r="L12" s="26">
        <v>100000</v>
      </c>
      <c r="M12" s="26">
        <v>100000</v>
      </c>
      <c r="N12" s="26">
        <v>100000</v>
      </c>
      <c r="O12" s="26">
        <v>100000</v>
      </c>
      <c r="P12" s="26">
        <v>100000</v>
      </c>
      <c r="Q12" s="8">
        <f t="shared" si="3"/>
        <v>1200000</v>
      </c>
    </row>
    <row r="13" spans="1:20" x14ac:dyDescent="0.25">
      <c r="A13" s="21" t="s">
        <v>20</v>
      </c>
      <c r="B13" s="22"/>
      <c r="C13" s="22"/>
      <c r="D13" s="22"/>
      <c r="E13" s="8">
        <v>6000000</v>
      </c>
      <c r="F13" s="8">
        <v>6000000</v>
      </c>
      <c r="G13" s="8">
        <v>6000000</v>
      </c>
      <c r="H13" s="8">
        <v>6000000</v>
      </c>
      <c r="I13" s="8">
        <v>6000000</v>
      </c>
      <c r="J13" s="8">
        <v>6000000</v>
      </c>
      <c r="K13" s="8">
        <v>6000000</v>
      </c>
      <c r="L13" s="8">
        <v>6000000</v>
      </c>
      <c r="M13" s="8">
        <v>6000000</v>
      </c>
      <c r="N13" s="8">
        <v>6000000</v>
      </c>
      <c r="O13" s="8">
        <v>6000000</v>
      </c>
      <c r="P13" s="8">
        <v>6000000</v>
      </c>
      <c r="Q13" s="8">
        <f t="shared" si="3"/>
        <v>72000000</v>
      </c>
    </row>
    <row r="14" spans="1:20" x14ac:dyDescent="0.25">
      <c r="A14" s="21" t="s">
        <v>21</v>
      </c>
      <c r="B14" s="22"/>
      <c r="C14" s="22"/>
      <c r="D14" s="22"/>
      <c r="E14" s="8">
        <v>5750000</v>
      </c>
      <c r="F14" s="8">
        <v>5750000</v>
      </c>
      <c r="G14" s="8">
        <v>5750000</v>
      </c>
      <c r="H14" s="8">
        <v>5750000</v>
      </c>
      <c r="I14" s="8">
        <v>5750000</v>
      </c>
      <c r="J14" s="8">
        <v>5750000</v>
      </c>
      <c r="K14" s="8">
        <v>5750000</v>
      </c>
      <c r="L14" s="8">
        <v>5750000</v>
      </c>
      <c r="M14" s="8">
        <v>5750000</v>
      </c>
      <c r="N14" s="8">
        <v>5750000</v>
      </c>
      <c r="O14" s="8">
        <v>5750000</v>
      </c>
      <c r="P14" s="8">
        <v>5750000</v>
      </c>
      <c r="Q14" s="8">
        <f t="shared" si="3"/>
        <v>69000000</v>
      </c>
    </row>
    <row r="15" spans="1:20" x14ac:dyDescent="0.25">
      <c r="A15" s="25" t="s">
        <v>22</v>
      </c>
      <c r="B15" s="22"/>
      <c r="C15" s="22"/>
      <c r="D15" s="22"/>
      <c r="E15" s="27">
        <v>600000</v>
      </c>
      <c r="F15" s="27">
        <v>600000</v>
      </c>
      <c r="G15" s="27">
        <v>600000</v>
      </c>
      <c r="H15" s="27">
        <v>600000</v>
      </c>
      <c r="I15" s="27">
        <v>600000</v>
      </c>
      <c r="J15" s="27">
        <v>600000</v>
      </c>
      <c r="K15" s="27">
        <v>600000</v>
      </c>
      <c r="L15" s="27">
        <v>600000</v>
      </c>
      <c r="M15" s="27">
        <v>600000</v>
      </c>
      <c r="N15" s="27">
        <v>600000</v>
      </c>
      <c r="O15" s="27">
        <v>600000</v>
      </c>
      <c r="P15" s="27">
        <v>600000</v>
      </c>
      <c r="Q15" s="8">
        <f t="shared" si="3"/>
        <v>7200000</v>
      </c>
    </row>
    <row r="16" spans="1:20" ht="15.75" thickBot="1" x14ac:dyDescent="0.3">
      <c r="A16" s="28" t="s">
        <v>13</v>
      </c>
      <c r="B16" s="29"/>
      <c r="C16" s="29"/>
      <c r="D16" s="29"/>
      <c r="E16" s="18">
        <f t="shared" ref="E16:P16" si="4">SUM(E10:E15)</f>
        <v>40146210</v>
      </c>
      <c r="F16" s="18">
        <f t="shared" si="4"/>
        <v>38035360</v>
      </c>
      <c r="G16" s="18">
        <f t="shared" si="4"/>
        <v>36548210</v>
      </c>
      <c r="H16" s="18">
        <f t="shared" si="4"/>
        <v>32486160</v>
      </c>
      <c r="I16" s="18">
        <f t="shared" si="4"/>
        <v>34927060</v>
      </c>
      <c r="J16" s="18">
        <f t="shared" si="4"/>
        <v>30308810</v>
      </c>
      <c r="K16" s="18">
        <f t="shared" si="4"/>
        <v>31021710</v>
      </c>
      <c r="L16" s="18">
        <f t="shared" si="4"/>
        <v>34142110</v>
      </c>
      <c r="M16" s="18">
        <f t="shared" si="4"/>
        <v>33378110</v>
      </c>
      <c r="N16" s="18">
        <f t="shared" si="4"/>
        <v>36017010</v>
      </c>
      <c r="O16" s="18">
        <f t="shared" si="4"/>
        <v>39360160</v>
      </c>
      <c r="P16" s="18">
        <f t="shared" si="4"/>
        <v>42139910</v>
      </c>
      <c r="Q16" s="30">
        <f t="shared" si="3"/>
        <v>428510820</v>
      </c>
    </row>
    <row r="17" spans="1:17" ht="15.75" thickTop="1" x14ac:dyDescent="0.25">
      <c r="A17" s="31" t="s">
        <v>23</v>
      </c>
      <c r="B17" s="22"/>
      <c r="C17" s="22"/>
      <c r="D17" s="22"/>
      <c r="E17" s="8"/>
      <c r="F17" s="8"/>
      <c r="G17" s="8"/>
      <c r="H17" s="8"/>
      <c r="I17" s="8"/>
      <c r="J17" s="8"/>
      <c r="K17" s="69"/>
      <c r="L17" s="8"/>
      <c r="M17" s="8"/>
      <c r="N17" s="8"/>
      <c r="O17" s="8"/>
      <c r="P17" s="8"/>
      <c r="Q17" s="8"/>
    </row>
    <row r="18" spans="1:17" x14ac:dyDescent="0.25">
      <c r="A18" s="21" t="s">
        <v>24</v>
      </c>
      <c r="B18" s="22"/>
      <c r="C18" s="22"/>
      <c r="D18" s="22"/>
      <c r="E18" s="8">
        <v>3000000</v>
      </c>
      <c r="F18" s="8">
        <v>3000000</v>
      </c>
      <c r="G18" s="8">
        <v>3600000</v>
      </c>
      <c r="H18" s="8">
        <v>3000000</v>
      </c>
      <c r="I18" s="8">
        <v>3000000</v>
      </c>
      <c r="J18" s="8">
        <v>3000000</v>
      </c>
      <c r="K18" s="69">
        <v>3000000</v>
      </c>
      <c r="L18" s="8">
        <v>3000000</v>
      </c>
      <c r="M18" s="8">
        <v>3600000</v>
      </c>
      <c r="N18" s="8">
        <v>3000000</v>
      </c>
      <c r="O18" s="8">
        <v>3000000</v>
      </c>
      <c r="P18" s="8">
        <v>3600000</v>
      </c>
      <c r="Q18" s="8">
        <f>SUM(E18:P18)</f>
        <v>37800000</v>
      </c>
    </row>
    <row r="19" spans="1:17" x14ac:dyDescent="0.25">
      <c r="A19" s="21" t="s">
        <v>25</v>
      </c>
      <c r="B19" s="22"/>
      <c r="C19" s="22"/>
      <c r="D19" s="22"/>
      <c r="E19" s="26">
        <v>1500000</v>
      </c>
      <c r="F19" s="26">
        <v>1500000</v>
      </c>
      <c r="G19" s="26">
        <v>1500000</v>
      </c>
      <c r="H19" s="26">
        <v>1500000</v>
      </c>
      <c r="I19" s="26">
        <v>1500000</v>
      </c>
      <c r="J19" s="26">
        <v>1500000</v>
      </c>
      <c r="K19" s="69">
        <v>1500000</v>
      </c>
      <c r="L19" s="26">
        <v>1500000</v>
      </c>
      <c r="M19" s="26">
        <v>1500000</v>
      </c>
      <c r="N19" s="26">
        <v>1500000</v>
      </c>
      <c r="O19" s="26">
        <v>1500000</v>
      </c>
      <c r="P19" s="26">
        <v>1500000</v>
      </c>
      <c r="Q19" s="8">
        <f>SUM(E19:P19)</f>
        <v>18000000</v>
      </c>
    </row>
    <row r="20" spans="1:17" x14ac:dyDescent="0.25">
      <c r="A20" s="21" t="s">
        <v>26</v>
      </c>
      <c r="B20" s="22"/>
      <c r="C20" s="22"/>
      <c r="D20" s="22"/>
      <c r="E20" s="8">
        <v>2600000</v>
      </c>
      <c r="F20" s="8">
        <v>2600000</v>
      </c>
      <c r="G20" s="8">
        <v>2600000</v>
      </c>
      <c r="H20" s="8">
        <v>2600000</v>
      </c>
      <c r="I20" s="8">
        <v>2600000</v>
      </c>
      <c r="J20" s="8">
        <v>2600000</v>
      </c>
      <c r="K20" s="69">
        <v>2600000</v>
      </c>
      <c r="L20" s="8">
        <v>2600000</v>
      </c>
      <c r="M20" s="8">
        <v>2600000</v>
      </c>
      <c r="N20" s="8">
        <v>2600000</v>
      </c>
      <c r="O20" s="8">
        <v>2600000</v>
      </c>
      <c r="P20" s="8">
        <v>2600000</v>
      </c>
      <c r="Q20" s="8">
        <f>SUM(E20:P20)</f>
        <v>31200000</v>
      </c>
    </row>
    <row r="21" spans="1:17" x14ac:dyDescent="0.25">
      <c r="A21" s="21" t="s">
        <v>27</v>
      </c>
      <c r="B21" s="22"/>
      <c r="C21" s="22"/>
      <c r="D21" s="22"/>
      <c r="E21" s="32">
        <v>200000</v>
      </c>
      <c r="F21" s="32">
        <v>200000</v>
      </c>
      <c r="G21" s="32">
        <v>200000</v>
      </c>
      <c r="H21" s="32">
        <v>200000</v>
      </c>
      <c r="I21" s="32">
        <v>200000</v>
      </c>
      <c r="J21" s="32">
        <v>200000</v>
      </c>
      <c r="K21" s="70">
        <v>200000</v>
      </c>
      <c r="L21" s="32">
        <v>200000</v>
      </c>
      <c r="M21" s="32">
        <v>200000</v>
      </c>
      <c r="N21" s="32">
        <v>200000</v>
      </c>
      <c r="O21" s="32">
        <v>200000</v>
      </c>
      <c r="P21" s="32">
        <v>200000</v>
      </c>
      <c r="Q21" s="32">
        <f>SUM(E21:P21)</f>
        <v>2400000</v>
      </c>
    </row>
    <row r="22" spans="1:17" ht="15.75" thickBot="1" x14ac:dyDescent="0.3">
      <c r="A22" s="28" t="s">
        <v>28</v>
      </c>
      <c r="B22" s="29"/>
      <c r="C22" s="29"/>
      <c r="D22" s="33"/>
      <c r="E22" s="34">
        <f t="shared" ref="E22:P22" si="5">SUM(E18:E21)</f>
        <v>7300000</v>
      </c>
      <c r="F22" s="34">
        <f t="shared" si="5"/>
        <v>7300000</v>
      </c>
      <c r="G22" s="34">
        <f t="shared" si="5"/>
        <v>7900000</v>
      </c>
      <c r="H22" s="34">
        <f t="shared" si="5"/>
        <v>7300000</v>
      </c>
      <c r="I22" s="34">
        <f t="shared" si="5"/>
        <v>7300000</v>
      </c>
      <c r="J22" s="34">
        <f t="shared" si="5"/>
        <v>7300000</v>
      </c>
      <c r="K22" s="71">
        <f t="shared" si="5"/>
        <v>7300000</v>
      </c>
      <c r="L22" s="34">
        <f t="shared" si="5"/>
        <v>7300000</v>
      </c>
      <c r="M22" s="34">
        <f t="shared" si="5"/>
        <v>7900000</v>
      </c>
      <c r="N22" s="34">
        <f t="shared" si="5"/>
        <v>7300000</v>
      </c>
      <c r="O22" s="34">
        <f t="shared" si="5"/>
        <v>7300000</v>
      </c>
      <c r="P22" s="34">
        <f t="shared" si="5"/>
        <v>7900000</v>
      </c>
      <c r="Q22" s="34">
        <f>SUM(E22:P22)</f>
        <v>89400000</v>
      </c>
    </row>
    <row r="23" spans="1:17" ht="15.75" thickTop="1" x14ac:dyDescent="0.25">
      <c r="A23" s="31" t="s">
        <v>29</v>
      </c>
      <c r="B23" s="22"/>
      <c r="C23" s="22"/>
      <c r="D23" s="22"/>
      <c r="E23" s="8"/>
      <c r="F23" s="8"/>
      <c r="G23" s="8"/>
      <c r="H23" s="8"/>
      <c r="I23" s="8"/>
      <c r="J23" s="8"/>
      <c r="K23" s="69"/>
      <c r="L23" s="8"/>
      <c r="M23" s="8"/>
      <c r="N23" s="8"/>
      <c r="O23" s="8"/>
      <c r="P23" s="8"/>
      <c r="Q23" s="8"/>
    </row>
    <row r="24" spans="1:17" x14ac:dyDescent="0.25">
      <c r="A24" s="25" t="s">
        <v>24</v>
      </c>
      <c r="B24" s="22"/>
      <c r="C24" s="22"/>
      <c r="D24" s="22"/>
      <c r="E24" s="26">
        <v>3600000</v>
      </c>
      <c r="F24" s="26">
        <v>3600000</v>
      </c>
      <c r="G24" s="26">
        <v>4000000</v>
      </c>
      <c r="H24" s="26">
        <v>3600000</v>
      </c>
      <c r="I24" s="26">
        <v>3600000</v>
      </c>
      <c r="J24" s="26">
        <v>3600000</v>
      </c>
      <c r="K24" s="69">
        <v>3600000</v>
      </c>
      <c r="L24" s="26">
        <v>3600000</v>
      </c>
      <c r="M24" s="26">
        <v>4000000</v>
      </c>
      <c r="N24" s="26">
        <v>3600000</v>
      </c>
      <c r="O24" s="26">
        <v>3600000</v>
      </c>
      <c r="P24" s="26">
        <v>4000000</v>
      </c>
      <c r="Q24" s="8">
        <f t="shared" ref="Q24:Q30" si="6">SUM(E24:P24)</f>
        <v>44400000</v>
      </c>
    </row>
    <row r="25" spans="1:17" x14ac:dyDescent="0.25">
      <c r="A25" s="25" t="s">
        <v>30</v>
      </c>
      <c r="B25" s="22"/>
      <c r="C25" s="22"/>
      <c r="D25" s="22"/>
      <c r="E25" s="26">
        <v>400000</v>
      </c>
      <c r="F25" s="26">
        <v>400000</v>
      </c>
      <c r="G25" s="26">
        <v>400000</v>
      </c>
      <c r="H25" s="26">
        <v>400000</v>
      </c>
      <c r="I25" s="26">
        <v>400000</v>
      </c>
      <c r="J25" s="26">
        <v>400000</v>
      </c>
      <c r="K25" s="69">
        <v>400000</v>
      </c>
      <c r="L25" s="26">
        <v>400000</v>
      </c>
      <c r="M25" s="26">
        <v>400000</v>
      </c>
      <c r="N25" s="26">
        <v>400000</v>
      </c>
      <c r="O25" s="26">
        <v>400000</v>
      </c>
      <c r="P25" s="26">
        <v>400000</v>
      </c>
      <c r="Q25" s="8">
        <f t="shared" si="6"/>
        <v>4800000</v>
      </c>
    </row>
    <row r="26" spans="1:17" x14ac:dyDescent="0.25">
      <c r="A26" s="25" t="s">
        <v>31</v>
      </c>
      <c r="B26" s="22"/>
      <c r="C26" s="22"/>
      <c r="D26" s="22"/>
      <c r="E26" s="26">
        <v>6000000</v>
      </c>
      <c r="F26" s="26">
        <v>6000000</v>
      </c>
      <c r="G26" s="26">
        <v>6000000</v>
      </c>
      <c r="H26" s="26">
        <v>6000000</v>
      </c>
      <c r="I26" s="26">
        <v>6000000</v>
      </c>
      <c r="J26" s="26">
        <v>6000000</v>
      </c>
      <c r="K26" s="69">
        <v>6000000</v>
      </c>
      <c r="L26" s="26">
        <v>6000000</v>
      </c>
      <c r="M26" s="26">
        <v>6000000</v>
      </c>
      <c r="N26" s="26">
        <v>6500000</v>
      </c>
      <c r="O26" s="26">
        <v>6500000</v>
      </c>
      <c r="P26" s="26">
        <v>6000000</v>
      </c>
      <c r="Q26" s="8">
        <f t="shared" si="6"/>
        <v>73000000</v>
      </c>
    </row>
    <row r="27" spans="1:17" x14ac:dyDescent="0.25">
      <c r="A27" s="25" t="s">
        <v>32</v>
      </c>
      <c r="B27" s="22"/>
      <c r="C27" s="22"/>
      <c r="D27" s="22"/>
      <c r="E27" s="26">
        <v>100000</v>
      </c>
      <c r="F27" s="26">
        <v>100000</v>
      </c>
      <c r="G27" s="26">
        <v>100000</v>
      </c>
      <c r="H27" s="26">
        <v>100000</v>
      </c>
      <c r="I27" s="26">
        <v>100000</v>
      </c>
      <c r="J27" s="26">
        <v>100000</v>
      </c>
      <c r="K27" s="69">
        <v>100000</v>
      </c>
      <c r="L27" s="26">
        <v>100000</v>
      </c>
      <c r="M27" s="26">
        <v>100000</v>
      </c>
      <c r="N27" s="26">
        <v>100000</v>
      </c>
      <c r="O27" s="26">
        <v>100000</v>
      </c>
      <c r="P27" s="26">
        <v>100000</v>
      </c>
      <c r="Q27" s="8">
        <f t="shared" si="6"/>
        <v>1200000</v>
      </c>
    </row>
    <row r="28" spans="1:17" x14ac:dyDescent="0.25">
      <c r="A28" s="25" t="s">
        <v>33</v>
      </c>
      <c r="B28" s="22"/>
      <c r="C28" s="22"/>
      <c r="D28" s="22"/>
      <c r="E28" s="26">
        <v>2200000</v>
      </c>
      <c r="F28" s="26">
        <v>3000000</v>
      </c>
      <c r="G28" s="26">
        <v>4000000</v>
      </c>
      <c r="H28" s="26">
        <v>2500000</v>
      </c>
      <c r="I28" s="26">
        <v>2000000</v>
      </c>
      <c r="J28" s="26">
        <v>2000000</v>
      </c>
      <c r="K28" s="69">
        <v>2000000</v>
      </c>
      <c r="L28" s="26">
        <v>2000000</v>
      </c>
      <c r="M28" s="26">
        <v>2000000</v>
      </c>
      <c r="N28" s="26">
        <v>2000000</v>
      </c>
      <c r="O28" s="26">
        <v>2000000</v>
      </c>
      <c r="P28" s="26">
        <v>2000000</v>
      </c>
      <c r="Q28" s="8">
        <f t="shared" si="6"/>
        <v>27700000</v>
      </c>
    </row>
    <row r="29" spans="1:17" ht="15.75" thickBot="1" x14ac:dyDescent="0.3">
      <c r="A29" s="28" t="s">
        <v>28</v>
      </c>
      <c r="B29" s="29"/>
      <c r="C29" s="29"/>
      <c r="D29" s="33"/>
      <c r="E29" s="18">
        <f t="shared" ref="E29:K29" si="7">SUM(E24:E28)</f>
        <v>12300000</v>
      </c>
      <c r="F29" s="18">
        <f t="shared" si="7"/>
        <v>13100000</v>
      </c>
      <c r="G29" s="18">
        <f t="shared" si="7"/>
        <v>14500000</v>
      </c>
      <c r="H29" s="18">
        <f t="shared" si="7"/>
        <v>12600000</v>
      </c>
      <c r="I29" s="18">
        <f t="shared" si="7"/>
        <v>12100000</v>
      </c>
      <c r="J29" s="18">
        <f t="shared" si="7"/>
        <v>12100000</v>
      </c>
      <c r="K29" s="72">
        <f t="shared" si="7"/>
        <v>12100000</v>
      </c>
      <c r="L29" s="18">
        <f>SUM(L24:L28)</f>
        <v>12100000</v>
      </c>
      <c r="M29" s="18">
        <f t="shared" ref="M29:P29" si="8">SUM(M24:M28)</f>
        <v>12500000</v>
      </c>
      <c r="N29" s="18">
        <f t="shared" si="8"/>
        <v>12600000</v>
      </c>
      <c r="O29" s="18">
        <f t="shared" si="8"/>
        <v>12600000</v>
      </c>
      <c r="P29" s="18">
        <f t="shared" si="8"/>
        <v>12500000</v>
      </c>
      <c r="Q29" s="18">
        <f t="shared" si="6"/>
        <v>151100000</v>
      </c>
    </row>
    <row r="30" spans="1:17" ht="16.5" thickTop="1" thickBot="1" x14ac:dyDescent="0.3">
      <c r="A30" s="35" t="s">
        <v>13</v>
      </c>
      <c r="B30" s="36"/>
      <c r="C30" s="36"/>
      <c r="D30" s="36"/>
      <c r="E30" s="37">
        <f>+E22+E29</f>
        <v>19600000</v>
      </c>
      <c r="F30" s="37">
        <f>+F22+F29</f>
        <v>20400000</v>
      </c>
      <c r="G30" s="37">
        <f>+G22+G29</f>
        <v>22400000</v>
      </c>
      <c r="H30" s="37">
        <f>+H22+H29</f>
        <v>19900000</v>
      </c>
      <c r="I30" s="37">
        <f>+I22+I29</f>
        <v>19400000</v>
      </c>
      <c r="J30" s="37">
        <f>+J22+J29</f>
        <v>19400000</v>
      </c>
      <c r="K30" s="73">
        <f>+K22+K29</f>
        <v>19400000</v>
      </c>
      <c r="L30" s="37">
        <f>+L22+L29</f>
        <v>19400000</v>
      </c>
      <c r="M30" s="37">
        <f>+M22+M29</f>
        <v>20400000</v>
      </c>
      <c r="N30" s="37">
        <f>+N22+N29</f>
        <v>19900000</v>
      </c>
      <c r="O30" s="37">
        <f>+O22+O29</f>
        <v>19900000</v>
      </c>
      <c r="P30" s="37">
        <f>+P22+P29</f>
        <v>20400000</v>
      </c>
      <c r="Q30" s="37">
        <f t="shared" si="6"/>
        <v>240500000</v>
      </c>
    </row>
    <row r="31" spans="1:17" ht="15.75" thickTop="1" x14ac:dyDescent="0.25">
      <c r="A31" s="31"/>
      <c r="B31" s="22"/>
      <c r="C31" s="22"/>
      <c r="D31" s="22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5.75" thickBot="1" x14ac:dyDescent="0.3">
      <c r="A32" s="38" t="s">
        <v>34</v>
      </c>
      <c r="B32" s="39"/>
      <c r="C32" s="39"/>
      <c r="D32" s="39"/>
      <c r="E32" s="40">
        <f>+E16-E30</f>
        <v>20546210</v>
      </c>
      <c r="F32" s="40">
        <f>+F16-F30</f>
        <v>17635360</v>
      </c>
      <c r="G32" s="40">
        <f>+G16-G30</f>
        <v>14148210</v>
      </c>
      <c r="H32" s="40">
        <f>+H16-H30</f>
        <v>12586160</v>
      </c>
      <c r="I32" s="40">
        <f>+I16-I30</f>
        <v>15527060</v>
      </c>
      <c r="J32" s="40">
        <f>+J16-J30</f>
        <v>10908810</v>
      </c>
      <c r="K32" s="40">
        <f>+K16-K30</f>
        <v>11621710</v>
      </c>
      <c r="L32" s="40">
        <f>+L16-L30</f>
        <v>14742110</v>
      </c>
      <c r="M32" s="40">
        <f>+M16-M30</f>
        <v>12978110</v>
      </c>
      <c r="N32" s="40">
        <f>+N16-N30</f>
        <v>16117010</v>
      </c>
      <c r="O32" s="40">
        <f>+O16-O30</f>
        <v>19460160</v>
      </c>
      <c r="P32" s="40">
        <f>+P16-P30</f>
        <v>21739910</v>
      </c>
      <c r="Q32" s="40">
        <f>SUM(E32:P32)</f>
        <v>188010820</v>
      </c>
    </row>
    <row r="33" spans="1:19" ht="15.75" thickTop="1" x14ac:dyDescent="0.25">
      <c r="A33" s="31" t="s">
        <v>35</v>
      </c>
      <c r="B33" s="22"/>
      <c r="C33" s="22"/>
      <c r="D33" s="2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9" x14ac:dyDescent="0.25">
      <c r="A34" s="25" t="s">
        <v>36</v>
      </c>
      <c r="B34" s="22"/>
      <c r="C34" s="22"/>
      <c r="D34" s="22"/>
      <c r="E34" s="26">
        <v>600000</v>
      </c>
      <c r="F34" s="26">
        <v>600000</v>
      </c>
      <c r="G34" s="26">
        <v>600000</v>
      </c>
      <c r="H34" s="26">
        <v>600000</v>
      </c>
      <c r="I34" s="26">
        <v>600000</v>
      </c>
      <c r="J34" s="26">
        <v>600000</v>
      </c>
      <c r="K34" s="26">
        <v>600000</v>
      </c>
      <c r="L34" s="26">
        <v>600000</v>
      </c>
      <c r="M34" s="26">
        <v>600000</v>
      </c>
      <c r="N34" s="26">
        <v>600000</v>
      </c>
      <c r="O34" s="26">
        <v>600000</v>
      </c>
      <c r="P34" s="26">
        <v>600000</v>
      </c>
      <c r="Q34" s="8">
        <f>SUM(E34:P34)</f>
        <v>7200000</v>
      </c>
      <c r="S34" s="41"/>
    </row>
    <row r="35" spans="1:19" x14ac:dyDescent="0.25">
      <c r="A35" s="25" t="s">
        <v>37</v>
      </c>
      <c r="B35" s="22"/>
      <c r="C35" s="22"/>
      <c r="D35" s="22"/>
      <c r="E35" s="26">
        <v>-300000</v>
      </c>
      <c r="F35" s="26">
        <v>-300000</v>
      </c>
      <c r="G35" s="26">
        <v>-300000</v>
      </c>
      <c r="H35" s="26">
        <v>-300000</v>
      </c>
      <c r="I35" s="26">
        <v>-300000</v>
      </c>
      <c r="J35" s="26">
        <v>-300000</v>
      </c>
      <c r="K35" s="26">
        <v>-300000</v>
      </c>
      <c r="L35" s="26">
        <v>-300000</v>
      </c>
      <c r="M35" s="26">
        <v>-300000</v>
      </c>
      <c r="N35" s="26">
        <v>-300000</v>
      </c>
      <c r="O35" s="26">
        <v>-300000</v>
      </c>
      <c r="P35" s="26">
        <v>-300000</v>
      </c>
      <c r="Q35" s="8">
        <f>SUM(E35:P35)</f>
        <v>-3600000</v>
      </c>
      <c r="S35" s="41"/>
    </row>
    <row r="36" spans="1:19" x14ac:dyDescent="0.25">
      <c r="A36" s="25" t="s">
        <v>38</v>
      </c>
      <c r="B36" s="22"/>
      <c r="C36" s="22"/>
      <c r="D36" s="22"/>
      <c r="E36" s="26">
        <v>-900000</v>
      </c>
      <c r="F36" s="26">
        <v>-900000</v>
      </c>
      <c r="G36" s="26">
        <v>-900000</v>
      </c>
      <c r="H36" s="26">
        <v>-900000</v>
      </c>
      <c r="I36" s="26">
        <v>-900000</v>
      </c>
      <c r="J36" s="26">
        <v>-900000</v>
      </c>
      <c r="K36" s="26">
        <v>-860000</v>
      </c>
      <c r="L36" s="26">
        <v>-860000</v>
      </c>
      <c r="M36" s="26">
        <v>-860000</v>
      </c>
      <c r="N36" s="26">
        <v>-860000</v>
      </c>
      <c r="O36" s="26">
        <v>-860000</v>
      </c>
      <c r="P36" s="26">
        <v>-860000</v>
      </c>
      <c r="Q36" s="26">
        <f>SUM(E36:P36)</f>
        <v>-10560000</v>
      </c>
    </row>
    <row r="37" spans="1:19" ht="15.75" thickBot="1" x14ac:dyDescent="0.3">
      <c r="A37" s="42" t="s">
        <v>39</v>
      </c>
      <c r="B37" s="43"/>
      <c r="C37" s="43"/>
      <c r="D37" s="43"/>
      <c r="E37" s="44">
        <f t="shared" ref="E37:P37" si="9">SUM(E34:E36)</f>
        <v>-600000</v>
      </c>
      <c r="F37" s="44">
        <f t="shared" si="9"/>
        <v>-600000</v>
      </c>
      <c r="G37" s="44">
        <f t="shared" si="9"/>
        <v>-600000</v>
      </c>
      <c r="H37" s="44">
        <f t="shared" si="9"/>
        <v>-600000</v>
      </c>
      <c r="I37" s="44">
        <f t="shared" si="9"/>
        <v>-600000</v>
      </c>
      <c r="J37" s="44">
        <f t="shared" si="9"/>
        <v>-600000</v>
      </c>
      <c r="K37" s="44">
        <f t="shared" si="9"/>
        <v>-560000</v>
      </c>
      <c r="L37" s="44">
        <f t="shared" si="9"/>
        <v>-560000</v>
      </c>
      <c r="M37" s="44">
        <f t="shared" si="9"/>
        <v>-560000</v>
      </c>
      <c r="N37" s="44">
        <f t="shared" si="9"/>
        <v>-560000</v>
      </c>
      <c r="O37" s="44">
        <f t="shared" si="9"/>
        <v>-560000</v>
      </c>
      <c r="P37" s="44">
        <f t="shared" si="9"/>
        <v>-560000</v>
      </c>
      <c r="Q37" s="44">
        <f>SUM(E37:P37)</f>
        <v>-6960000</v>
      </c>
      <c r="R37" s="45"/>
    </row>
    <row r="38" spans="1:19" ht="15.75" thickBot="1" x14ac:dyDescent="0.3">
      <c r="A38" s="46" t="s">
        <v>40</v>
      </c>
      <c r="B38" s="47"/>
      <c r="C38" s="47"/>
      <c r="D38" s="47"/>
      <c r="E38" s="48">
        <f t="shared" ref="E38:P38" si="10">+E32+E37</f>
        <v>19946210</v>
      </c>
      <c r="F38" s="48">
        <f t="shared" si="10"/>
        <v>17035360</v>
      </c>
      <c r="G38" s="48">
        <f t="shared" si="10"/>
        <v>13548210</v>
      </c>
      <c r="H38" s="48">
        <f t="shared" si="10"/>
        <v>11986160</v>
      </c>
      <c r="I38" s="48">
        <f t="shared" si="10"/>
        <v>14927060</v>
      </c>
      <c r="J38" s="48">
        <f t="shared" si="10"/>
        <v>10308810</v>
      </c>
      <c r="K38" s="48">
        <f t="shared" si="10"/>
        <v>11061710</v>
      </c>
      <c r="L38" s="48">
        <f t="shared" si="10"/>
        <v>14182110</v>
      </c>
      <c r="M38" s="48">
        <f t="shared" si="10"/>
        <v>12418110</v>
      </c>
      <c r="N38" s="48">
        <f t="shared" si="10"/>
        <v>15557010</v>
      </c>
      <c r="O38" s="48">
        <f t="shared" si="10"/>
        <v>18900160</v>
      </c>
      <c r="P38" s="48">
        <f t="shared" si="10"/>
        <v>21179910</v>
      </c>
      <c r="Q38" s="49">
        <f>SUM(E38:P38)</f>
        <v>181050820</v>
      </c>
      <c r="R38" s="45"/>
    </row>
    <row r="40" spans="1:19" x14ac:dyDescent="0.25">
      <c r="D40" s="41"/>
    </row>
  </sheetData>
  <mergeCells count="1">
    <mergeCell ref="A3:Q5"/>
  </mergeCells>
  <pageMargins left="0.23622047244094491" right="0.23622047244094491" top="0.74803149606299213" bottom="0.74803149606299213" header="0.31496062992125984" footer="0.31496062992125984"/>
  <pageSetup paperSize="5" scale="60"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41"/>
  <sheetViews>
    <sheetView zoomScale="85" zoomScaleNormal="85" workbookViewId="0">
      <selection activeCell="E2" sqref="E2"/>
    </sheetView>
  </sheetViews>
  <sheetFormatPr defaultColWidth="11.42578125" defaultRowHeight="15" x14ac:dyDescent="0.25"/>
  <cols>
    <col min="1" max="1" width="10" customWidth="1"/>
    <col min="2" max="2" width="7.42578125" customWidth="1"/>
    <col min="3" max="3" width="4.140625" customWidth="1"/>
    <col min="4" max="4" width="11.85546875" customWidth="1"/>
    <col min="5" max="5" width="13" style="1" customWidth="1"/>
    <col min="6" max="6" width="14.28515625" style="1" customWidth="1"/>
    <col min="7" max="7" width="14.28515625" style="1" bestFit="1" customWidth="1"/>
    <col min="8" max="8" width="12.85546875" style="1" customWidth="1"/>
    <col min="9" max="9" width="13.85546875" style="1" customWidth="1"/>
    <col min="10" max="11" width="14.28515625" style="1" bestFit="1" customWidth="1"/>
    <col min="12" max="15" width="14.28515625" style="1" customWidth="1"/>
    <col min="16" max="16" width="14.28515625" style="1" bestFit="1" customWidth="1"/>
    <col min="17" max="17" width="16" style="1" customWidth="1"/>
    <col min="18" max="18" width="11.42578125" customWidth="1"/>
    <col min="19" max="19" width="12.85546875" customWidth="1"/>
  </cols>
  <sheetData>
    <row r="2" spans="1:20" ht="39.75" customHeight="1" thickBot="1" x14ac:dyDescent="0.3"/>
    <row r="3" spans="1:20" ht="18.75" customHeight="1" x14ac:dyDescent="0.25">
      <c r="A3" s="60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</row>
    <row r="4" spans="1:20" ht="11.25" customHeight="1" x14ac:dyDescent="0.2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20" ht="21" customHeight="1" thickBot="1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</row>
    <row r="6" spans="1:20" ht="15.75" thickBot="1" x14ac:dyDescent="0.3">
      <c r="A6" s="2"/>
      <c r="B6" s="3"/>
      <c r="C6" s="3"/>
      <c r="D6" s="3"/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</row>
    <row r="7" spans="1:20" ht="15.75" thickBot="1" x14ac:dyDescent="0.3">
      <c r="A7" s="5" t="s">
        <v>14</v>
      </c>
      <c r="B7" s="6"/>
      <c r="C7" s="6"/>
      <c r="D7" s="7"/>
      <c r="E7" s="55">
        <f>E8+300*1+430</f>
        <v>55000</v>
      </c>
      <c r="F7" s="55">
        <f>F8+300*2+793</f>
        <v>48000</v>
      </c>
      <c r="G7" s="55">
        <f>G8+300*3+605</f>
        <v>43000</v>
      </c>
      <c r="H7" s="56">
        <f>H8+300*4+356</f>
        <v>45000</v>
      </c>
      <c r="I7" s="56">
        <f>I8+300*5+839</f>
        <v>40000</v>
      </c>
      <c r="J7" s="56">
        <f>J8+300*6+918</f>
        <v>36000</v>
      </c>
      <c r="K7" s="56">
        <f>K8+300*7+805</f>
        <v>39000</v>
      </c>
      <c r="L7" s="56">
        <f>L8+300*8+265</f>
        <v>37000</v>
      </c>
      <c r="M7" s="56">
        <f>M8+300*9+632</f>
        <v>41000</v>
      </c>
      <c r="N7" s="56">
        <f>N8+300*10+892</f>
        <v>47000</v>
      </c>
      <c r="O7" s="56">
        <f>O8+300*11+220</f>
        <v>54000</v>
      </c>
      <c r="P7" s="56">
        <f>P8+300*12+800</f>
        <v>61000</v>
      </c>
      <c r="Q7" s="9">
        <f>SUM(E7:P7)</f>
        <v>546000</v>
      </c>
      <c r="R7" s="10" t="s">
        <v>44</v>
      </c>
    </row>
    <row r="8" spans="1:20" ht="15.75" thickBot="1" x14ac:dyDescent="0.3">
      <c r="A8" s="11" t="s">
        <v>43</v>
      </c>
      <c r="B8" s="12"/>
      <c r="C8" s="12"/>
      <c r="D8" s="13"/>
      <c r="E8" s="57">
        <v>54270</v>
      </c>
      <c r="F8" s="57">
        <v>46607</v>
      </c>
      <c r="G8" s="57">
        <v>41495</v>
      </c>
      <c r="H8" s="58">
        <v>43444</v>
      </c>
      <c r="I8" s="58">
        <v>37661</v>
      </c>
      <c r="J8" s="58">
        <v>33282</v>
      </c>
      <c r="K8" s="58">
        <v>36095</v>
      </c>
      <c r="L8" s="58">
        <v>34335</v>
      </c>
      <c r="M8" s="58">
        <v>37668</v>
      </c>
      <c r="N8" s="59">
        <v>43108</v>
      </c>
      <c r="O8" s="59">
        <v>50480</v>
      </c>
      <c r="P8" s="59">
        <v>56600</v>
      </c>
      <c r="Q8" s="14">
        <f>SUM(E8:P8)</f>
        <v>515045</v>
      </c>
    </row>
    <row r="9" spans="1:20" ht="15.75" thickBot="1" x14ac:dyDescent="0.3">
      <c r="A9" s="15" t="s">
        <v>16</v>
      </c>
      <c r="B9" s="16"/>
      <c r="C9" s="16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20" ht="15.75" thickTop="1" x14ac:dyDescent="0.25">
      <c r="A10" s="20" t="s">
        <v>17</v>
      </c>
      <c r="B10" s="6"/>
      <c r="C10" s="6"/>
      <c r="D10" s="7"/>
      <c r="E10" s="8">
        <f>E7*450</f>
        <v>24750000</v>
      </c>
      <c r="F10" s="8">
        <f>F7*450</f>
        <v>21600000</v>
      </c>
      <c r="G10" s="8">
        <f>G7*450</f>
        <v>19350000</v>
      </c>
      <c r="H10" s="8">
        <f t="shared" ref="H10:J10" si="0">H7*450</f>
        <v>20250000</v>
      </c>
      <c r="I10" s="8">
        <f t="shared" si="0"/>
        <v>18000000</v>
      </c>
      <c r="J10" s="8">
        <f t="shared" si="0"/>
        <v>16200000</v>
      </c>
      <c r="K10" s="8">
        <f t="shared" ref="K10:P10" si="1">K7*470</f>
        <v>18330000</v>
      </c>
      <c r="L10" s="8">
        <f t="shared" si="1"/>
        <v>17390000</v>
      </c>
      <c r="M10" s="8">
        <f t="shared" si="1"/>
        <v>19270000</v>
      </c>
      <c r="N10" s="8">
        <f t="shared" si="1"/>
        <v>22090000</v>
      </c>
      <c r="O10" s="8">
        <f t="shared" si="1"/>
        <v>25380000</v>
      </c>
      <c r="P10" s="8">
        <f t="shared" si="1"/>
        <v>28670000</v>
      </c>
      <c r="Q10" s="8">
        <f t="shared" ref="Q10" si="2">450*Q7</f>
        <v>245700000</v>
      </c>
    </row>
    <row r="11" spans="1:20" x14ac:dyDescent="0.25">
      <c r="A11" s="21" t="s">
        <v>18</v>
      </c>
      <c r="B11" s="22"/>
      <c r="C11" s="22"/>
      <c r="D11" s="22"/>
      <c r="E11" s="23">
        <f>4219910+25750</f>
        <v>4245660</v>
      </c>
      <c r="F11" s="23">
        <f>E11+25750</f>
        <v>4271410</v>
      </c>
      <c r="G11" s="23">
        <f>F11+25750</f>
        <v>4297160</v>
      </c>
      <c r="H11" s="23">
        <f t="shared" ref="H11:J11" si="3">G11+25750</f>
        <v>4322910</v>
      </c>
      <c r="I11" s="23">
        <f t="shared" si="3"/>
        <v>4348660</v>
      </c>
      <c r="J11" s="23">
        <f t="shared" si="3"/>
        <v>4374410</v>
      </c>
      <c r="K11" s="23">
        <f t="shared" ref="K11:P11" si="4">J11+26850</f>
        <v>4401260</v>
      </c>
      <c r="L11" s="23">
        <f t="shared" si="4"/>
        <v>4428110</v>
      </c>
      <c r="M11" s="23">
        <f t="shared" si="4"/>
        <v>4454960</v>
      </c>
      <c r="N11" s="23">
        <f t="shared" si="4"/>
        <v>4481810</v>
      </c>
      <c r="O11" s="23">
        <f t="shared" si="4"/>
        <v>4508660</v>
      </c>
      <c r="P11" s="23">
        <f t="shared" si="4"/>
        <v>4535510</v>
      </c>
      <c r="Q11" s="23">
        <f t="shared" ref="Q11:Q16" si="5">SUM(E11:P11)</f>
        <v>52670520</v>
      </c>
      <c r="R11" s="24"/>
      <c r="S11" s="24"/>
      <c r="T11" s="24"/>
    </row>
    <row r="12" spans="1:20" x14ac:dyDescent="0.25">
      <c r="A12" s="25" t="s">
        <v>19</v>
      </c>
      <c r="B12" s="22"/>
      <c r="C12" s="22"/>
      <c r="D12" s="22"/>
      <c r="E12" s="26">
        <v>200000</v>
      </c>
      <c r="F12" s="26">
        <v>200000</v>
      </c>
      <c r="G12" s="26">
        <v>200000</v>
      </c>
      <c r="H12" s="26">
        <v>200000</v>
      </c>
      <c r="I12" s="26">
        <v>200000</v>
      </c>
      <c r="J12" s="26">
        <v>200000</v>
      </c>
      <c r="K12" s="26">
        <v>200000</v>
      </c>
      <c r="L12" s="26">
        <v>200000</v>
      </c>
      <c r="M12" s="26">
        <v>200000</v>
      </c>
      <c r="N12" s="26">
        <v>200000</v>
      </c>
      <c r="O12" s="26">
        <v>200000</v>
      </c>
      <c r="P12" s="26">
        <v>200000</v>
      </c>
      <c r="Q12" s="8">
        <f t="shared" si="5"/>
        <v>2400000</v>
      </c>
    </row>
    <row r="13" spans="1:20" x14ac:dyDescent="0.25">
      <c r="A13" s="21" t="s">
        <v>20</v>
      </c>
      <c r="B13" s="22"/>
      <c r="C13" s="22"/>
      <c r="D13" s="22"/>
      <c r="E13" s="8">
        <v>6000000</v>
      </c>
      <c r="F13" s="8">
        <v>6000000</v>
      </c>
      <c r="G13" s="8">
        <v>6000000</v>
      </c>
      <c r="H13" s="8">
        <v>6000000</v>
      </c>
      <c r="I13" s="8">
        <v>6000000</v>
      </c>
      <c r="J13" s="8">
        <v>6000000</v>
      </c>
      <c r="K13" s="8">
        <v>6000000</v>
      </c>
      <c r="L13" s="8">
        <v>6000000</v>
      </c>
      <c r="M13" s="8">
        <v>6000000</v>
      </c>
      <c r="N13" s="8">
        <v>6000000</v>
      </c>
      <c r="O13" s="8">
        <v>6000000</v>
      </c>
      <c r="P13" s="8">
        <v>6000000</v>
      </c>
      <c r="Q13" s="8">
        <f t="shared" si="5"/>
        <v>72000000</v>
      </c>
    </row>
    <row r="14" spans="1:20" x14ac:dyDescent="0.25">
      <c r="A14" s="21" t="s">
        <v>21</v>
      </c>
      <c r="B14" s="22"/>
      <c r="C14" s="22"/>
      <c r="D14" s="22"/>
      <c r="E14" s="8">
        <v>5750000</v>
      </c>
      <c r="F14" s="8">
        <v>5750000</v>
      </c>
      <c r="G14" s="8">
        <v>5750000</v>
      </c>
      <c r="H14" s="8">
        <v>5750000</v>
      </c>
      <c r="I14" s="8">
        <v>5750000</v>
      </c>
      <c r="J14" s="8">
        <v>5750000</v>
      </c>
      <c r="K14" s="8">
        <v>5750000</v>
      </c>
      <c r="L14" s="8">
        <v>5750000</v>
      </c>
      <c r="M14" s="8">
        <v>5750000</v>
      </c>
      <c r="N14" s="8">
        <v>5750000</v>
      </c>
      <c r="O14" s="8">
        <v>5750000</v>
      </c>
      <c r="P14" s="8">
        <v>5750000</v>
      </c>
      <c r="Q14" s="8">
        <f t="shared" si="5"/>
        <v>69000000</v>
      </c>
    </row>
    <row r="15" spans="1:20" ht="15.75" thickBot="1" x14ac:dyDescent="0.3">
      <c r="A15" s="25" t="s">
        <v>22</v>
      </c>
      <c r="B15" s="22"/>
      <c r="C15" s="22"/>
      <c r="D15" s="22"/>
      <c r="E15" s="27">
        <v>720000</v>
      </c>
      <c r="F15" s="27">
        <v>720000</v>
      </c>
      <c r="G15" s="27">
        <v>720000</v>
      </c>
      <c r="H15" s="27">
        <v>720000</v>
      </c>
      <c r="I15" s="27">
        <v>720000</v>
      </c>
      <c r="J15" s="27">
        <v>720000</v>
      </c>
      <c r="K15" s="27">
        <v>720000</v>
      </c>
      <c r="L15" s="27">
        <v>720000</v>
      </c>
      <c r="M15" s="27">
        <v>720000</v>
      </c>
      <c r="N15" s="27">
        <v>720000</v>
      </c>
      <c r="O15" s="27">
        <v>720000</v>
      </c>
      <c r="P15" s="27">
        <v>720000</v>
      </c>
      <c r="Q15" s="8">
        <f t="shared" si="5"/>
        <v>8640000</v>
      </c>
    </row>
    <row r="16" spans="1:20" ht="15.75" thickBot="1" x14ac:dyDescent="0.3">
      <c r="A16" s="50" t="s">
        <v>13</v>
      </c>
      <c r="B16" s="3"/>
      <c r="C16" s="3"/>
      <c r="D16" s="3"/>
      <c r="E16" s="51">
        <f t="shared" ref="E16:P16" si="6">SUM(E10:E15)</f>
        <v>41665660</v>
      </c>
      <c r="F16" s="51">
        <f t="shared" si="6"/>
        <v>38541410</v>
      </c>
      <c r="G16" s="51">
        <f t="shared" si="6"/>
        <v>36317160</v>
      </c>
      <c r="H16" s="51">
        <f t="shared" si="6"/>
        <v>37242910</v>
      </c>
      <c r="I16" s="51">
        <f t="shared" si="6"/>
        <v>35018660</v>
      </c>
      <c r="J16" s="51">
        <f t="shared" si="6"/>
        <v>33244410</v>
      </c>
      <c r="K16" s="51">
        <f t="shared" si="6"/>
        <v>35401260</v>
      </c>
      <c r="L16" s="51">
        <f t="shared" si="6"/>
        <v>34488110</v>
      </c>
      <c r="M16" s="51">
        <f t="shared" si="6"/>
        <v>36394960</v>
      </c>
      <c r="N16" s="51">
        <f t="shared" si="6"/>
        <v>39241810</v>
      </c>
      <c r="O16" s="51">
        <f t="shared" si="6"/>
        <v>42558660</v>
      </c>
      <c r="P16" s="51">
        <f t="shared" si="6"/>
        <v>45875510</v>
      </c>
      <c r="Q16" s="30">
        <f t="shared" si="5"/>
        <v>455990520</v>
      </c>
    </row>
    <row r="17" spans="1:17" x14ac:dyDescent="0.25">
      <c r="A17" s="31" t="s">
        <v>23</v>
      </c>
      <c r="B17" s="22"/>
      <c r="C17" s="22"/>
      <c r="D17" s="22"/>
      <c r="E17" s="8"/>
      <c r="F17" s="8"/>
      <c r="G17" s="8"/>
      <c r="H17" s="8"/>
      <c r="I17" s="8"/>
      <c r="J17" s="8"/>
      <c r="K17" s="26"/>
      <c r="L17" s="8"/>
      <c r="M17" s="8"/>
      <c r="N17" s="8"/>
      <c r="O17" s="8"/>
      <c r="P17" s="8"/>
      <c r="Q17" s="8"/>
    </row>
    <row r="18" spans="1:17" x14ac:dyDescent="0.25">
      <c r="A18" s="21" t="s">
        <v>24</v>
      </c>
      <c r="B18" s="22"/>
      <c r="C18" s="22"/>
      <c r="D18" s="22"/>
      <c r="E18" s="8">
        <v>3200000</v>
      </c>
      <c r="F18" s="8">
        <v>3200000</v>
      </c>
      <c r="G18" s="8">
        <v>3800000</v>
      </c>
      <c r="H18" s="8">
        <v>3200000</v>
      </c>
      <c r="I18" s="8">
        <v>3200000</v>
      </c>
      <c r="J18" s="8">
        <v>3200000</v>
      </c>
      <c r="K18" s="8">
        <v>3200000</v>
      </c>
      <c r="L18" s="8">
        <v>3200000</v>
      </c>
      <c r="M18" s="8">
        <v>3800000</v>
      </c>
      <c r="N18" s="8">
        <v>3200000</v>
      </c>
      <c r="O18" s="8">
        <v>3200000</v>
      </c>
      <c r="P18" s="8">
        <v>3800000</v>
      </c>
      <c r="Q18" s="8">
        <f>SUM(E18:P18)</f>
        <v>40200000</v>
      </c>
    </row>
    <row r="19" spans="1:17" x14ac:dyDescent="0.25">
      <c r="A19" s="21" t="s">
        <v>25</v>
      </c>
      <c r="B19" s="22"/>
      <c r="C19" s="22"/>
      <c r="D19" s="22"/>
      <c r="E19" s="26">
        <v>1500000</v>
      </c>
      <c r="F19" s="26">
        <v>1500000</v>
      </c>
      <c r="G19" s="26">
        <v>1500000</v>
      </c>
      <c r="H19" s="26">
        <v>1500000</v>
      </c>
      <c r="I19" s="26">
        <v>1500000</v>
      </c>
      <c r="J19" s="26">
        <v>1500000</v>
      </c>
      <c r="K19" s="26">
        <v>1500000</v>
      </c>
      <c r="L19" s="26">
        <v>1500000</v>
      </c>
      <c r="M19" s="26">
        <v>1500000</v>
      </c>
      <c r="N19" s="26">
        <v>1500000</v>
      </c>
      <c r="O19" s="26">
        <v>1500000</v>
      </c>
      <c r="P19" s="26">
        <v>1500000</v>
      </c>
      <c r="Q19" s="8">
        <f>SUM(E19:P19)</f>
        <v>18000000</v>
      </c>
    </row>
    <row r="20" spans="1:17" x14ac:dyDescent="0.25">
      <c r="A20" s="21" t="s">
        <v>26</v>
      </c>
      <c r="B20" s="22"/>
      <c r="C20" s="22"/>
      <c r="D20" s="22"/>
      <c r="E20" s="8">
        <v>2600000</v>
      </c>
      <c r="F20" s="8">
        <v>2600000</v>
      </c>
      <c r="G20" s="8">
        <v>2600000</v>
      </c>
      <c r="H20" s="8">
        <v>2600000</v>
      </c>
      <c r="I20" s="8">
        <v>2600000</v>
      </c>
      <c r="J20" s="8">
        <v>2600000</v>
      </c>
      <c r="K20" s="26">
        <v>2600000</v>
      </c>
      <c r="L20" s="8">
        <v>2600000</v>
      </c>
      <c r="M20" s="8">
        <v>2600000</v>
      </c>
      <c r="N20" s="8">
        <v>2600000</v>
      </c>
      <c r="O20" s="8">
        <v>2600000</v>
      </c>
      <c r="P20" s="8">
        <v>2600000</v>
      </c>
      <c r="Q20" s="8">
        <f>SUM(E20:P20)</f>
        <v>31200000</v>
      </c>
    </row>
    <row r="21" spans="1:17" ht="15.75" thickBot="1" x14ac:dyDescent="0.3">
      <c r="A21" s="21" t="s">
        <v>27</v>
      </c>
      <c r="B21" s="22"/>
      <c r="C21" s="22"/>
      <c r="D21" s="22"/>
      <c r="E21" s="26">
        <v>400000</v>
      </c>
      <c r="F21" s="26">
        <v>400000</v>
      </c>
      <c r="G21" s="26">
        <v>400000</v>
      </c>
      <c r="H21" s="26">
        <v>400000</v>
      </c>
      <c r="I21" s="26">
        <v>400000</v>
      </c>
      <c r="J21" s="26">
        <v>400000</v>
      </c>
      <c r="K21" s="26">
        <v>400000</v>
      </c>
      <c r="L21" s="26">
        <v>400000</v>
      </c>
      <c r="M21" s="26">
        <v>400000</v>
      </c>
      <c r="N21" s="26">
        <v>400000</v>
      </c>
      <c r="O21" s="26">
        <v>400000</v>
      </c>
      <c r="P21" s="26">
        <v>400000</v>
      </c>
      <c r="Q21" s="26">
        <f>SUM(E21:P21)</f>
        <v>4800000</v>
      </c>
    </row>
    <row r="22" spans="1:17" ht="15.75" thickBot="1" x14ac:dyDescent="0.3">
      <c r="A22" s="50" t="s">
        <v>28</v>
      </c>
      <c r="B22" s="3"/>
      <c r="C22" s="3"/>
      <c r="D22" s="52"/>
      <c r="E22" s="53">
        <f t="shared" ref="E22:P22" si="7">SUM(E18:E21)</f>
        <v>7700000</v>
      </c>
      <c r="F22" s="53">
        <f t="shared" si="7"/>
        <v>7700000</v>
      </c>
      <c r="G22" s="53">
        <f t="shared" si="7"/>
        <v>8300000</v>
      </c>
      <c r="H22" s="53">
        <f t="shared" si="7"/>
        <v>7700000</v>
      </c>
      <c r="I22" s="53">
        <f t="shared" si="7"/>
        <v>7700000</v>
      </c>
      <c r="J22" s="53">
        <f t="shared" si="7"/>
        <v>7700000</v>
      </c>
      <c r="K22" s="54">
        <f t="shared" si="7"/>
        <v>7700000</v>
      </c>
      <c r="L22" s="53">
        <f t="shared" si="7"/>
        <v>7700000</v>
      </c>
      <c r="M22" s="53">
        <f t="shared" si="7"/>
        <v>8300000</v>
      </c>
      <c r="N22" s="53">
        <f t="shared" si="7"/>
        <v>7700000</v>
      </c>
      <c r="O22" s="53">
        <f t="shared" si="7"/>
        <v>7700000</v>
      </c>
      <c r="P22" s="53">
        <f t="shared" si="7"/>
        <v>8300000</v>
      </c>
      <c r="Q22" s="53">
        <f>SUM(E22:P22)</f>
        <v>94200000</v>
      </c>
    </row>
    <row r="23" spans="1:17" x14ac:dyDescent="0.25">
      <c r="A23" s="25"/>
      <c r="B23" s="22"/>
      <c r="C23" s="22"/>
      <c r="D23" s="22"/>
      <c r="E23" s="8"/>
      <c r="F23" s="8"/>
      <c r="G23" s="8"/>
      <c r="H23" s="8"/>
      <c r="I23" s="8"/>
      <c r="J23" s="8"/>
      <c r="K23" s="26"/>
      <c r="L23" s="8"/>
      <c r="M23" s="8"/>
      <c r="N23" s="8"/>
      <c r="O23" s="8"/>
      <c r="P23" s="8"/>
      <c r="Q23" s="8"/>
    </row>
    <row r="24" spans="1:17" x14ac:dyDescent="0.25">
      <c r="A24" s="31" t="s">
        <v>29</v>
      </c>
      <c r="B24" s="22"/>
      <c r="C24" s="22"/>
      <c r="D24" s="22"/>
      <c r="E24" s="8"/>
      <c r="F24" s="8"/>
      <c r="G24" s="8"/>
      <c r="H24" s="8"/>
      <c r="I24" s="8"/>
      <c r="J24" s="8"/>
      <c r="K24" s="26"/>
      <c r="L24" s="8"/>
      <c r="M24" s="8"/>
      <c r="N24" s="8"/>
      <c r="O24" s="8"/>
      <c r="P24" s="8"/>
      <c r="Q24" s="8"/>
    </row>
    <row r="25" spans="1:17" x14ac:dyDescent="0.25">
      <c r="A25" s="25" t="s">
        <v>24</v>
      </c>
      <c r="B25" s="22"/>
      <c r="C25" s="22"/>
      <c r="D25" s="22"/>
      <c r="E25" s="26">
        <v>4200000</v>
      </c>
      <c r="F25" s="26">
        <v>4200000</v>
      </c>
      <c r="G25" s="26">
        <v>4700000</v>
      </c>
      <c r="H25" s="26">
        <v>4200000</v>
      </c>
      <c r="I25" s="26">
        <v>4200000</v>
      </c>
      <c r="J25" s="26">
        <v>4200000</v>
      </c>
      <c r="K25" s="26">
        <v>4200000</v>
      </c>
      <c r="L25" s="26">
        <v>4200000</v>
      </c>
      <c r="M25" s="26">
        <v>4700000</v>
      </c>
      <c r="N25" s="26">
        <v>4200000</v>
      </c>
      <c r="O25" s="26">
        <v>4200000</v>
      </c>
      <c r="P25" s="26">
        <v>4700000</v>
      </c>
      <c r="Q25" s="8">
        <f t="shared" ref="Q25:Q31" si="8">SUM(E25:P25)</f>
        <v>51900000</v>
      </c>
    </row>
    <row r="26" spans="1:17" x14ac:dyDescent="0.25">
      <c r="A26" s="25" t="s">
        <v>30</v>
      </c>
      <c r="B26" s="22"/>
      <c r="C26" s="22"/>
      <c r="D26" s="22"/>
      <c r="E26" s="26">
        <v>600000</v>
      </c>
      <c r="F26" s="26">
        <v>800000</v>
      </c>
      <c r="G26" s="26">
        <v>800000</v>
      </c>
      <c r="H26" s="26">
        <v>600000</v>
      </c>
      <c r="I26" s="26">
        <v>600000</v>
      </c>
      <c r="J26" s="26">
        <v>400000</v>
      </c>
      <c r="K26" s="26">
        <v>400000</v>
      </c>
      <c r="L26" s="26">
        <v>400000</v>
      </c>
      <c r="M26" s="26">
        <v>400000</v>
      </c>
      <c r="N26" s="26">
        <v>400000</v>
      </c>
      <c r="O26" s="26">
        <v>600000</v>
      </c>
      <c r="P26" s="26">
        <v>400000</v>
      </c>
      <c r="Q26" s="8">
        <f t="shared" si="8"/>
        <v>6400000</v>
      </c>
    </row>
    <row r="27" spans="1:17" x14ac:dyDescent="0.25">
      <c r="A27" s="25" t="s">
        <v>31</v>
      </c>
      <c r="B27" s="22"/>
      <c r="C27" s="22"/>
      <c r="D27" s="22"/>
      <c r="E27" s="26">
        <v>6000000</v>
      </c>
      <c r="F27" s="26">
        <v>6000000</v>
      </c>
      <c r="G27" s="26">
        <v>6000000</v>
      </c>
      <c r="H27" s="26">
        <v>6000000</v>
      </c>
      <c r="I27" s="26">
        <v>6000000</v>
      </c>
      <c r="J27" s="26">
        <v>6000000</v>
      </c>
      <c r="K27" s="26">
        <v>6000000</v>
      </c>
      <c r="L27" s="26">
        <v>6000000</v>
      </c>
      <c r="M27" s="26">
        <v>6000000</v>
      </c>
      <c r="N27" s="26">
        <v>6500000</v>
      </c>
      <c r="O27" s="26">
        <v>6500000</v>
      </c>
      <c r="P27" s="26">
        <v>6000000</v>
      </c>
      <c r="Q27" s="8">
        <f t="shared" si="8"/>
        <v>73000000</v>
      </c>
    </row>
    <row r="28" spans="1:17" x14ac:dyDescent="0.25">
      <c r="A28" s="25" t="s">
        <v>32</v>
      </c>
      <c r="B28" s="22"/>
      <c r="C28" s="22"/>
      <c r="D28" s="22"/>
      <c r="E28" s="26">
        <v>50000</v>
      </c>
      <c r="F28" s="26">
        <v>50000</v>
      </c>
      <c r="G28" s="26">
        <v>50000</v>
      </c>
      <c r="H28" s="26">
        <v>50000</v>
      </c>
      <c r="I28" s="26">
        <v>50000</v>
      </c>
      <c r="J28" s="26">
        <v>50000</v>
      </c>
      <c r="K28" s="26">
        <v>50000</v>
      </c>
      <c r="L28" s="26">
        <v>50000</v>
      </c>
      <c r="M28" s="26">
        <v>50000</v>
      </c>
      <c r="N28" s="26">
        <v>50000</v>
      </c>
      <c r="O28" s="26">
        <v>50000</v>
      </c>
      <c r="P28" s="26">
        <v>50000</v>
      </c>
      <c r="Q28" s="8">
        <f t="shared" si="8"/>
        <v>600000</v>
      </c>
    </row>
    <row r="29" spans="1:17" ht="15.75" thickBot="1" x14ac:dyDescent="0.3">
      <c r="A29" s="25" t="s">
        <v>33</v>
      </c>
      <c r="B29" s="22"/>
      <c r="C29" s="22"/>
      <c r="D29" s="22"/>
      <c r="E29" s="26">
        <v>2000000</v>
      </c>
      <c r="F29" s="26">
        <v>4000000</v>
      </c>
      <c r="G29" s="26">
        <v>6000000</v>
      </c>
      <c r="H29" s="26">
        <v>4000000</v>
      </c>
      <c r="I29" s="26">
        <v>2000000</v>
      </c>
      <c r="J29" s="26">
        <v>2000000</v>
      </c>
      <c r="K29" s="26">
        <v>2000000</v>
      </c>
      <c r="L29" s="26">
        <v>2000000</v>
      </c>
      <c r="M29" s="26">
        <v>2000000</v>
      </c>
      <c r="N29" s="26">
        <v>2000000</v>
      </c>
      <c r="O29" s="26">
        <v>2000000</v>
      </c>
      <c r="P29" s="26">
        <v>2000000</v>
      </c>
      <c r="Q29" s="8">
        <f t="shared" si="8"/>
        <v>32000000</v>
      </c>
    </row>
    <row r="30" spans="1:17" ht="15.75" thickBot="1" x14ac:dyDescent="0.3">
      <c r="A30" s="50" t="s">
        <v>28</v>
      </c>
      <c r="B30" s="3"/>
      <c r="C30" s="3"/>
      <c r="D30" s="52"/>
      <c r="E30" s="51">
        <f t="shared" ref="E30:K30" si="9">SUM(E25:E29)</f>
        <v>12850000</v>
      </c>
      <c r="F30" s="51">
        <f t="shared" si="9"/>
        <v>15050000</v>
      </c>
      <c r="G30" s="51">
        <f t="shared" si="9"/>
        <v>17550000</v>
      </c>
      <c r="H30" s="51">
        <f t="shared" si="9"/>
        <v>14850000</v>
      </c>
      <c r="I30" s="51">
        <f t="shared" si="9"/>
        <v>12850000</v>
      </c>
      <c r="J30" s="51">
        <f t="shared" si="9"/>
        <v>12650000</v>
      </c>
      <c r="K30" s="49">
        <f t="shared" si="9"/>
        <v>12650000</v>
      </c>
      <c r="L30" s="51">
        <f>SUM(L25:L29)</f>
        <v>12650000</v>
      </c>
      <c r="M30" s="51">
        <f t="shared" ref="M30:P30" si="10">SUM(M25:M29)</f>
        <v>13150000</v>
      </c>
      <c r="N30" s="51">
        <f t="shared" si="10"/>
        <v>13150000</v>
      </c>
      <c r="O30" s="51">
        <f t="shared" si="10"/>
        <v>13350000</v>
      </c>
      <c r="P30" s="51">
        <f t="shared" si="10"/>
        <v>13150000</v>
      </c>
      <c r="Q30" s="51">
        <f t="shared" si="8"/>
        <v>163900000</v>
      </c>
    </row>
    <row r="31" spans="1:17" ht="15.75" thickBot="1" x14ac:dyDescent="0.3">
      <c r="A31" s="50" t="s">
        <v>13</v>
      </c>
      <c r="B31" s="3"/>
      <c r="C31" s="3"/>
      <c r="D31" s="3"/>
      <c r="E31" s="51">
        <f t="shared" ref="E31:P31" si="11">+E22+E30</f>
        <v>20550000</v>
      </c>
      <c r="F31" s="51">
        <f t="shared" si="11"/>
        <v>22750000</v>
      </c>
      <c r="G31" s="51">
        <f t="shared" si="11"/>
        <v>25850000</v>
      </c>
      <c r="H31" s="51">
        <f t="shared" si="11"/>
        <v>22550000</v>
      </c>
      <c r="I31" s="51">
        <f t="shared" si="11"/>
        <v>20550000</v>
      </c>
      <c r="J31" s="51">
        <f t="shared" si="11"/>
        <v>20350000</v>
      </c>
      <c r="K31" s="49">
        <f t="shared" si="11"/>
        <v>20350000</v>
      </c>
      <c r="L31" s="51">
        <f t="shared" si="11"/>
        <v>20350000</v>
      </c>
      <c r="M31" s="51">
        <f t="shared" si="11"/>
        <v>21450000</v>
      </c>
      <c r="N31" s="51">
        <f t="shared" si="11"/>
        <v>20850000</v>
      </c>
      <c r="O31" s="51">
        <f t="shared" si="11"/>
        <v>21050000</v>
      </c>
      <c r="P31" s="51">
        <f t="shared" si="11"/>
        <v>21450000</v>
      </c>
      <c r="Q31" s="51">
        <f t="shared" si="8"/>
        <v>258100000</v>
      </c>
    </row>
    <row r="32" spans="1:17" x14ac:dyDescent="0.25">
      <c r="A32" s="31"/>
      <c r="B32" s="22"/>
      <c r="C32" s="22"/>
      <c r="D32" s="22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9" ht="15.75" thickBot="1" x14ac:dyDescent="0.3">
      <c r="A33" s="38" t="s">
        <v>34</v>
      </c>
      <c r="B33" s="39"/>
      <c r="C33" s="39"/>
      <c r="D33" s="39"/>
      <c r="E33" s="40">
        <f t="shared" ref="E33:P33" si="12">+E16-E31</f>
        <v>21115660</v>
      </c>
      <c r="F33" s="40">
        <f t="shared" si="12"/>
        <v>15791410</v>
      </c>
      <c r="G33" s="40">
        <f t="shared" si="12"/>
        <v>10467160</v>
      </c>
      <c r="H33" s="40">
        <f t="shared" si="12"/>
        <v>14692910</v>
      </c>
      <c r="I33" s="40">
        <f t="shared" si="12"/>
        <v>14468660</v>
      </c>
      <c r="J33" s="40">
        <f t="shared" si="12"/>
        <v>12894410</v>
      </c>
      <c r="K33" s="40">
        <f t="shared" si="12"/>
        <v>15051260</v>
      </c>
      <c r="L33" s="40">
        <f t="shared" si="12"/>
        <v>14138110</v>
      </c>
      <c r="M33" s="40">
        <f t="shared" si="12"/>
        <v>14944960</v>
      </c>
      <c r="N33" s="40">
        <f t="shared" si="12"/>
        <v>18391810</v>
      </c>
      <c r="O33" s="40">
        <f t="shared" si="12"/>
        <v>21508660</v>
      </c>
      <c r="P33" s="40">
        <f t="shared" si="12"/>
        <v>24425510</v>
      </c>
      <c r="Q33" s="40">
        <f>SUM(E33:P33)</f>
        <v>197890520</v>
      </c>
    </row>
    <row r="34" spans="1:19" ht="15.75" thickTop="1" x14ac:dyDescent="0.25">
      <c r="A34" s="31" t="s">
        <v>35</v>
      </c>
      <c r="B34" s="22"/>
      <c r="C34" s="22"/>
      <c r="D34" s="22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9" x14ac:dyDescent="0.25">
      <c r="A35" s="25" t="s">
        <v>36</v>
      </c>
      <c r="B35" s="22"/>
      <c r="C35" s="22"/>
      <c r="D35" s="22"/>
      <c r="E35" s="26"/>
      <c r="F35" s="26"/>
      <c r="G35" s="26"/>
      <c r="H35" s="26"/>
      <c r="I35" s="26"/>
      <c r="J35" s="26"/>
      <c r="K35" s="26"/>
      <c r="L35" s="26">
        <v>500000</v>
      </c>
      <c r="M35" s="26"/>
      <c r="N35" s="26"/>
      <c r="O35" s="26"/>
      <c r="P35" s="26"/>
      <c r="Q35" s="8">
        <f>SUM(E35:P35)</f>
        <v>500000</v>
      </c>
      <c r="S35" s="41"/>
    </row>
    <row r="36" spans="1:19" x14ac:dyDescent="0.25">
      <c r="A36" s="25" t="s">
        <v>42</v>
      </c>
      <c r="B36" s="22"/>
      <c r="C36" s="22"/>
      <c r="D36" s="22"/>
      <c r="E36" s="26">
        <v>-200000</v>
      </c>
      <c r="F36" s="26">
        <v>-200000</v>
      </c>
      <c r="G36" s="26">
        <v>-200000</v>
      </c>
      <c r="H36" s="26">
        <v>-200000</v>
      </c>
      <c r="I36" s="26">
        <f>-200000-200000</f>
        <v>-400000</v>
      </c>
      <c r="J36" s="26">
        <v>-200000</v>
      </c>
      <c r="K36" s="26">
        <v>-200000</v>
      </c>
      <c r="L36" s="26">
        <v>-200000</v>
      </c>
      <c r="M36" s="26">
        <f>-200000-200000</f>
        <v>-400000</v>
      </c>
      <c r="N36" s="26">
        <v>-200000</v>
      </c>
      <c r="O36" s="26">
        <v>-200000</v>
      </c>
      <c r="P36" s="26">
        <f>-200000-200000</f>
        <v>-400000</v>
      </c>
      <c r="Q36" s="8">
        <f>SUM(E36:P36)</f>
        <v>-3000000</v>
      </c>
      <c r="S36" s="41"/>
    </row>
    <row r="37" spans="1:19" x14ac:dyDescent="0.25">
      <c r="A37" s="25" t="s">
        <v>38</v>
      </c>
      <c r="B37" s="22"/>
      <c r="C37" s="22"/>
      <c r="D37" s="22"/>
      <c r="E37" s="26">
        <v>-500000</v>
      </c>
      <c r="F37" s="26">
        <v>-500000</v>
      </c>
      <c r="G37" s="26">
        <v>-500000</v>
      </c>
      <c r="H37" s="26">
        <v>-500000</v>
      </c>
      <c r="I37" s="26">
        <v>-500000</v>
      </c>
      <c r="J37" s="26">
        <v>-500000</v>
      </c>
      <c r="K37" s="26">
        <v>-500000</v>
      </c>
      <c r="L37" s="26">
        <v>-500000</v>
      </c>
      <c r="M37" s="26">
        <v>-500000</v>
      </c>
      <c r="N37" s="26">
        <v>-500000</v>
      </c>
      <c r="O37" s="26">
        <v>-500000</v>
      </c>
      <c r="P37" s="26">
        <v>-500000</v>
      </c>
      <c r="Q37" s="26">
        <f>SUM(E37:P37)</f>
        <v>-6000000</v>
      </c>
    </row>
    <row r="38" spans="1:19" ht="15.75" thickBot="1" x14ac:dyDescent="0.3">
      <c r="A38" s="42" t="s">
        <v>39</v>
      </c>
      <c r="B38" s="43"/>
      <c r="C38" s="43"/>
      <c r="D38" s="43"/>
      <c r="E38" s="44">
        <f t="shared" ref="E38:P38" si="13">SUM(E35:E37)</f>
        <v>-700000</v>
      </c>
      <c r="F38" s="44">
        <f t="shared" si="13"/>
        <v>-700000</v>
      </c>
      <c r="G38" s="44">
        <f t="shared" si="13"/>
        <v>-700000</v>
      </c>
      <c r="H38" s="44">
        <f t="shared" si="13"/>
        <v>-700000</v>
      </c>
      <c r="I38" s="44">
        <f t="shared" si="13"/>
        <v>-900000</v>
      </c>
      <c r="J38" s="44">
        <f t="shared" si="13"/>
        <v>-700000</v>
      </c>
      <c r="K38" s="44">
        <f t="shared" si="13"/>
        <v>-700000</v>
      </c>
      <c r="L38" s="44">
        <f t="shared" si="13"/>
        <v>-200000</v>
      </c>
      <c r="M38" s="44">
        <f t="shared" si="13"/>
        <v>-900000</v>
      </c>
      <c r="N38" s="44">
        <f t="shared" si="13"/>
        <v>-700000</v>
      </c>
      <c r="O38" s="44">
        <f t="shared" si="13"/>
        <v>-700000</v>
      </c>
      <c r="P38" s="44">
        <f t="shared" si="13"/>
        <v>-900000</v>
      </c>
      <c r="Q38" s="44">
        <f>SUM(E38:P38)</f>
        <v>-8500000</v>
      </c>
      <c r="R38" s="45"/>
    </row>
    <row r="39" spans="1:19" ht="15.75" thickBot="1" x14ac:dyDescent="0.3">
      <c r="A39" s="46" t="s">
        <v>40</v>
      </c>
      <c r="B39" s="47"/>
      <c r="C39" s="47"/>
      <c r="D39" s="47"/>
      <c r="E39" s="48">
        <f t="shared" ref="E39:P39" si="14">+E33+E38</f>
        <v>20415660</v>
      </c>
      <c r="F39" s="48">
        <f t="shared" si="14"/>
        <v>15091410</v>
      </c>
      <c r="G39" s="48">
        <f t="shared" si="14"/>
        <v>9767160</v>
      </c>
      <c r="H39" s="48">
        <f t="shared" si="14"/>
        <v>13992910</v>
      </c>
      <c r="I39" s="48">
        <f t="shared" si="14"/>
        <v>13568660</v>
      </c>
      <c r="J39" s="48">
        <f t="shared" si="14"/>
        <v>12194410</v>
      </c>
      <c r="K39" s="48">
        <f t="shared" si="14"/>
        <v>14351260</v>
      </c>
      <c r="L39" s="48">
        <f t="shared" si="14"/>
        <v>13938110</v>
      </c>
      <c r="M39" s="48">
        <f t="shared" si="14"/>
        <v>14044960</v>
      </c>
      <c r="N39" s="48">
        <f t="shared" si="14"/>
        <v>17691810</v>
      </c>
      <c r="O39" s="48">
        <f t="shared" si="14"/>
        <v>20808660</v>
      </c>
      <c r="P39" s="48">
        <f t="shared" si="14"/>
        <v>23525510</v>
      </c>
      <c r="Q39" s="49">
        <f>SUM(E39:P39)</f>
        <v>189390520</v>
      </c>
      <c r="R39" s="45"/>
    </row>
    <row r="41" spans="1:19" x14ac:dyDescent="0.25">
      <c r="D41" s="41"/>
    </row>
  </sheetData>
  <mergeCells count="1">
    <mergeCell ref="A3:Q5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PRESUPUESTO 2014</vt:lpstr>
      <vt:lpstr>PRESUPUESTO 2015</vt:lpstr>
      <vt:lpstr>Hoja3</vt:lpstr>
      <vt:lpstr>'PRESUPUESTO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2015-03-18T20:37:46Z</dcterms:modified>
</cp:coreProperties>
</file>