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55" windowWidth="15150" windowHeight="7305" tabRatio="781"/>
  </bookViews>
  <sheets>
    <sheet name="SimulaEST1" sheetId="4" r:id="rId1"/>
    <sheet name="Demanda" sheetId="24" r:id="rId2"/>
    <sheet name="CurvaMod" sheetId="1" r:id="rId3"/>
    <sheet name="Hoja2" sheetId="21" r:id="rId4"/>
  </sheets>
  <externalReferences>
    <externalReference r:id="rId5"/>
  </externalReferences>
  <definedNames>
    <definedName name="__r">#REF!</definedName>
    <definedName name="_falso" localSheetId="1" hidden="1">1000</definedName>
    <definedName name="_r" localSheetId="1">Demanda!#REF!</definedName>
    <definedName name="_solver_tm*" hidden="1">150</definedName>
    <definedName name="_solver_ty|" hidden="1">2</definedName>
    <definedName name="_solver_va¢" hidden="1">0</definedName>
    <definedName name="_xlnm.Print_Area" localSheetId="1">Demanda!$A$1:$O$55</definedName>
    <definedName name="fdmc" localSheetId="1">Demanda!#REF!</definedName>
    <definedName name="fdmc">#REF!</definedName>
    <definedName name="PD" localSheetId="1">Demanda!#REF!</definedName>
    <definedName name="PD">#REF!</definedName>
    <definedName name="PP" localSheetId="1">Demanda!#REF!</definedName>
    <definedName name="PP">#REF!</definedName>
    <definedName name="solver_sc¸" hidden="1">0</definedName>
    <definedName name="solver_shÞ" hidden="1">0</definedName>
    <definedName name="solver_toV" hidden="1">0.05</definedName>
  </definedNames>
  <calcPr calcId="144525"/>
</workbook>
</file>

<file path=xl/calcChain.xml><?xml version="1.0" encoding="utf-8"?>
<calcChain xmlns="http://schemas.openxmlformats.org/spreadsheetml/2006/main">
  <c r="F31" i="4" l="1"/>
  <c r="F27" i="4"/>
  <c r="F23" i="4"/>
  <c r="F24" i="4"/>
  <c r="F20" i="4"/>
  <c r="F19" i="4"/>
  <c r="F15" i="4"/>
  <c r="F28" i="4"/>
  <c r="F14" i="4"/>
  <c r="F18" i="4"/>
  <c r="J4" i="4"/>
  <c r="E32" i="24"/>
  <c r="E33" i="24" s="1"/>
  <c r="E34" i="24" s="1"/>
  <c r="E35" i="24" s="1"/>
  <c r="E36" i="24" s="1"/>
  <c r="E37" i="24" s="1"/>
  <c r="E38" i="24" s="1"/>
  <c r="E39" i="24" s="1"/>
  <c r="E40" i="24" s="1"/>
  <c r="E41" i="24" s="1"/>
  <c r="E42" i="24" s="1"/>
  <c r="E43" i="24" s="1"/>
  <c r="E44" i="24" s="1"/>
  <c r="E45" i="24" s="1"/>
  <c r="E46" i="24" s="1"/>
  <c r="E47" i="24" s="1"/>
  <c r="B31" i="24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E29" i="24"/>
  <c r="E30" i="24" s="1"/>
  <c r="E31" i="24" s="1"/>
  <c r="E28" i="24"/>
  <c r="B28" i="24"/>
  <c r="B29" i="24" s="1"/>
  <c r="B30" i="24" s="1"/>
  <c r="A28" i="24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F27" i="24"/>
  <c r="H27" i="24" s="1"/>
  <c r="J27" i="24" s="1"/>
  <c r="K27" i="24" s="1"/>
  <c r="E27" i="24"/>
  <c r="D27" i="24"/>
  <c r="C27" i="24"/>
  <c r="C28" i="24" s="1"/>
  <c r="D6" i="24"/>
  <c r="O27" i="24" l="1"/>
  <c r="N27" i="24"/>
  <c r="M27" i="24"/>
  <c r="L27" i="24"/>
  <c r="C29" i="24"/>
  <c r="D28" i="24"/>
  <c r="F28" i="24"/>
  <c r="H28" i="24" s="1"/>
  <c r="J28" i="24" s="1"/>
  <c r="K28" i="24" s="1"/>
  <c r="F29" i="24" l="1"/>
  <c r="H29" i="24" s="1"/>
  <c r="J29" i="24" s="1"/>
  <c r="K29" i="24" s="1"/>
  <c r="C30" i="24"/>
  <c r="D29" i="24"/>
  <c r="N28" i="24"/>
  <c r="M28" i="24"/>
  <c r="O28" i="24"/>
  <c r="L28" i="24"/>
  <c r="Y13" i="4"/>
  <c r="E4" i="4"/>
  <c r="F8" i="4" l="1"/>
  <c r="M29" i="24"/>
  <c r="L29" i="24"/>
  <c r="O29" i="24"/>
  <c r="N29" i="24"/>
  <c r="F30" i="24"/>
  <c r="H30" i="24" s="1"/>
  <c r="J30" i="24" s="1"/>
  <c r="K30" i="24" s="1"/>
  <c r="D30" i="24"/>
  <c r="C31" i="24"/>
  <c r="J7" i="4"/>
  <c r="L1" i="4"/>
  <c r="L30" i="24" l="1"/>
  <c r="O30" i="24"/>
  <c r="N30" i="24"/>
  <c r="M30" i="24"/>
  <c r="C32" i="24"/>
  <c r="D31" i="24"/>
  <c r="F31" i="24"/>
  <c r="H31" i="24" s="1"/>
  <c r="J31" i="24" s="1"/>
  <c r="K31" i="24" s="1"/>
  <c r="G3" i="4"/>
  <c r="C33" i="24" l="1"/>
  <c r="D32" i="24"/>
  <c r="F32" i="24"/>
  <c r="H32" i="24" s="1"/>
  <c r="J32" i="24" s="1"/>
  <c r="K32" i="24" s="1"/>
  <c r="O31" i="24"/>
  <c r="N31" i="24"/>
  <c r="M31" i="24"/>
  <c r="L31" i="24"/>
  <c r="R3" i="4"/>
  <c r="R4" i="4" s="1"/>
  <c r="R5" i="4" s="1"/>
  <c r="D1" i="4" s="1"/>
  <c r="F33" i="24" l="1"/>
  <c r="H33" i="24" s="1"/>
  <c r="J33" i="24" s="1"/>
  <c r="K33" i="24" s="1"/>
  <c r="D33" i="24"/>
  <c r="C34" i="24"/>
  <c r="N32" i="24"/>
  <c r="M32" i="24"/>
  <c r="L32" i="24"/>
  <c r="O32" i="24"/>
  <c r="I9" i="1"/>
  <c r="E2" i="1"/>
  <c r="M33" i="24" l="1"/>
  <c r="L33" i="24"/>
  <c r="O33" i="24"/>
  <c r="N33" i="24"/>
  <c r="F34" i="24"/>
  <c r="H34" i="24" s="1"/>
  <c r="J34" i="24" s="1"/>
  <c r="K34" i="24" s="1"/>
  <c r="C35" i="24"/>
  <c r="D34" i="24"/>
  <c r="D60" i="1"/>
  <c r="D59" i="1"/>
  <c r="D58" i="1"/>
  <c r="D57" i="1"/>
  <c r="I56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C36" i="24" l="1"/>
  <c r="D35" i="24"/>
  <c r="F35" i="24"/>
  <c r="H35" i="24" s="1"/>
  <c r="J35" i="24" s="1"/>
  <c r="K35" i="24" s="1"/>
  <c r="L34" i="24"/>
  <c r="O34" i="24"/>
  <c r="N34" i="24"/>
  <c r="M34" i="24"/>
  <c r="D61" i="1"/>
  <c r="O35" i="24" l="1"/>
  <c r="N35" i="24"/>
  <c r="M35" i="24"/>
  <c r="L35" i="24"/>
  <c r="C37" i="24"/>
  <c r="D36" i="24"/>
  <c r="F36" i="24"/>
  <c r="H36" i="24" s="1"/>
  <c r="J36" i="24" s="1"/>
  <c r="K36" i="24" s="1"/>
  <c r="D4" i="4"/>
  <c r="D3" i="4"/>
  <c r="L3" i="4" s="1"/>
  <c r="L4" i="4" s="1"/>
  <c r="I25" i="1"/>
  <c r="N36" i="24" l="1"/>
  <c r="M36" i="24"/>
  <c r="O36" i="24"/>
  <c r="L36" i="24"/>
  <c r="F37" i="24"/>
  <c r="H37" i="24" s="1"/>
  <c r="J37" i="24" s="1"/>
  <c r="K37" i="24" s="1"/>
  <c r="C38" i="24"/>
  <c r="D37" i="24"/>
  <c r="F21" i="4"/>
  <c r="D11" i="4"/>
  <c r="D10" i="4"/>
  <c r="D9" i="4"/>
  <c r="D8" i="4"/>
  <c r="D30" i="4"/>
  <c r="I3" i="4"/>
  <c r="D12" i="4"/>
  <c r="D23" i="4"/>
  <c r="D14" i="4"/>
  <c r="D13" i="4"/>
  <c r="D15" i="4"/>
  <c r="D16" i="4"/>
  <c r="A16" i="4" s="1"/>
  <c r="D17" i="4"/>
  <c r="D18" i="4"/>
  <c r="D19" i="4"/>
  <c r="D20" i="4"/>
  <c r="D21" i="4"/>
  <c r="D22" i="4"/>
  <c r="D24" i="4"/>
  <c r="A24" i="4" s="1"/>
  <c r="D26" i="4"/>
  <c r="D29" i="4"/>
  <c r="D31" i="4"/>
  <c r="D25" i="4"/>
  <c r="D27" i="4"/>
  <c r="D28" i="4"/>
  <c r="D7" i="1"/>
  <c r="F38" i="24" l="1"/>
  <c r="H38" i="24" s="1"/>
  <c r="J38" i="24" s="1"/>
  <c r="K38" i="24" s="1"/>
  <c r="D38" i="24"/>
  <c r="C39" i="24"/>
  <c r="M37" i="24"/>
  <c r="L37" i="24"/>
  <c r="O37" i="24"/>
  <c r="N37" i="24"/>
  <c r="D33" i="4"/>
  <c r="I8" i="4"/>
  <c r="J8" i="4" s="1"/>
  <c r="G8" i="4"/>
  <c r="F33" i="4"/>
  <c r="F32" i="4"/>
  <c r="E8" i="4"/>
  <c r="D32" i="4"/>
  <c r="D29" i="1"/>
  <c r="D25" i="1"/>
  <c r="D21" i="1"/>
  <c r="D19" i="1"/>
  <c r="D15" i="1"/>
  <c r="D13" i="1"/>
  <c r="D11" i="1"/>
  <c r="D9" i="1"/>
  <c r="D6" i="1"/>
  <c r="D28" i="1"/>
  <c r="D26" i="1"/>
  <c r="D24" i="1"/>
  <c r="D22" i="1"/>
  <c r="D20" i="1"/>
  <c r="D18" i="1"/>
  <c r="D16" i="1"/>
  <c r="D14" i="1"/>
  <c r="D12" i="1"/>
  <c r="D10" i="1"/>
  <c r="D8" i="1"/>
  <c r="D27" i="1"/>
  <c r="D23" i="1"/>
  <c r="D17" i="1"/>
  <c r="C40" i="24" l="1"/>
  <c r="D39" i="24"/>
  <c r="F39" i="24"/>
  <c r="H39" i="24" s="1"/>
  <c r="J39" i="24" s="1"/>
  <c r="K39" i="24" s="1"/>
  <c r="L38" i="24"/>
  <c r="O38" i="24"/>
  <c r="N38" i="24"/>
  <c r="M38" i="24"/>
  <c r="I9" i="4"/>
  <c r="J9" i="4" s="1"/>
  <c r="E33" i="1"/>
  <c r="E32" i="1"/>
  <c r="D31" i="1"/>
  <c r="E6" i="1" s="1"/>
  <c r="E7" i="1" s="1"/>
  <c r="H8" i="4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G9" i="4"/>
  <c r="G10" i="4" s="1"/>
  <c r="O39" i="24" l="1"/>
  <c r="N39" i="24"/>
  <c r="M39" i="24"/>
  <c r="L39" i="24"/>
  <c r="C41" i="24"/>
  <c r="D40" i="24"/>
  <c r="F40" i="24"/>
  <c r="H40" i="24" s="1"/>
  <c r="J40" i="24" s="1"/>
  <c r="K40" i="24" s="1"/>
  <c r="E33" i="4"/>
  <c r="I10" i="4"/>
  <c r="E8" i="1"/>
  <c r="A7" i="1"/>
  <c r="A6" i="1"/>
  <c r="H10" i="4"/>
  <c r="G11" i="4"/>
  <c r="H11" i="4" s="1"/>
  <c r="H9" i="4"/>
  <c r="N40" i="24" l="1"/>
  <c r="M40" i="24"/>
  <c r="L40" i="24"/>
  <c r="O40" i="24"/>
  <c r="F41" i="24"/>
  <c r="H41" i="24" s="1"/>
  <c r="J41" i="24" s="1"/>
  <c r="K41" i="24" s="1"/>
  <c r="D41" i="24"/>
  <c r="C42" i="24"/>
  <c r="I11" i="4"/>
  <c r="J11" i="4" s="1"/>
  <c r="J10" i="4"/>
  <c r="E9" i="1"/>
  <c r="A8" i="1"/>
  <c r="G12" i="4"/>
  <c r="H12" i="4" s="1"/>
  <c r="F42" i="24" l="1"/>
  <c r="H42" i="24" s="1"/>
  <c r="J42" i="24" s="1"/>
  <c r="K42" i="24" s="1"/>
  <c r="C43" i="24"/>
  <c r="D42" i="24"/>
  <c r="M41" i="24"/>
  <c r="O41" i="24"/>
  <c r="L41" i="24"/>
  <c r="N41" i="24"/>
  <c r="I12" i="4"/>
  <c r="J12" i="4" s="1"/>
  <c r="E10" i="1"/>
  <c r="A9" i="1"/>
  <c r="G13" i="4"/>
  <c r="H13" i="4" s="1"/>
  <c r="C44" i="24" l="1"/>
  <c r="D43" i="24"/>
  <c r="F43" i="24"/>
  <c r="H43" i="24" s="1"/>
  <c r="J43" i="24" s="1"/>
  <c r="K43" i="24" s="1"/>
  <c r="L42" i="24"/>
  <c r="O42" i="24"/>
  <c r="N42" i="24"/>
  <c r="M42" i="24"/>
  <c r="I13" i="4"/>
  <c r="J13" i="4" s="1"/>
  <c r="E11" i="1"/>
  <c r="A10" i="1"/>
  <c r="G14" i="4"/>
  <c r="H14" i="4" s="1"/>
  <c r="O43" i="24" l="1"/>
  <c r="N43" i="24"/>
  <c r="M43" i="24"/>
  <c r="L43" i="24"/>
  <c r="C45" i="24"/>
  <c r="D44" i="24"/>
  <c r="F44" i="24"/>
  <c r="H44" i="24" s="1"/>
  <c r="J44" i="24" s="1"/>
  <c r="K44" i="24" s="1"/>
  <c r="I14" i="4"/>
  <c r="J14" i="4" s="1"/>
  <c r="E12" i="1"/>
  <c r="A11" i="1"/>
  <c r="G15" i="4"/>
  <c r="H15" i="4" s="1"/>
  <c r="N44" i="24" l="1"/>
  <c r="M44" i="24"/>
  <c r="L44" i="24"/>
  <c r="O44" i="24"/>
  <c r="F45" i="24"/>
  <c r="H45" i="24" s="1"/>
  <c r="J45" i="24" s="1"/>
  <c r="K45" i="24" s="1"/>
  <c r="D45" i="24"/>
  <c r="C46" i="24"/>
  <c r="I15" i="4"/>
  <c r="J15" i="4" s="1"/>
  <c r="E13" i="1"/>
  <c r="A12" i="1"/>
  <c r="G16" i="4"/>
  <c r="H16" i="4" s="1"/>
  <c r="F46" i="24" l="1"/>
  <c r="H46" i="24" s="1"/>
  <c r="J46" i="24" s="1"/>
  <c r="K46" i="24" s="1"/>
  <c r="C47" i="24"/>
  <c r="D46" i="24"/>
  <c r="M45" i="24"/>
  <c r="L45" i="24"/>
  <c r="O45" i="24"/>
  <c r="N45" i="24"/>
  <c r="I16" i="4"/>
  <c r="J16" i="4" s="1"/>
  <c r="E14" i="1"/>
  <c r="A13" i="1"/>
  <c r="G17" i="4"/>
  <c r="H17" i="4" s="1"/>
  <c r="D47" i="24" l="1"/>
  <c r="E50" i="24" s="1"/>
  <c r="F47" i="24"/>
  <c r="H47" i="24" s="1"/>
  <c r="J47" i="24" s="1"/>
  <c r="K47" i="24" s="1"/>
  <c r="L46" i="24"/>
  <c r="O46" i="24"/>
  <c r="N46" i="24"/>
  <c r="M46" i="24"/>
  <c r="I17" i="4"/>
  <c r="J17" i="4" s="1"/>
  <c r="E15" i="1"/>
  <c r="A14" i="1"/>
  <c r="G18" i="4"/>
  <c r="H18" i="4" s="1"/>
  <c r="O47" i="24" l="1"/>
  <c r="N47" i="24"/>
  <c r="M47" i="24"/>
  <c r="L47" i="24"/>
  <c r="I18" i="4"/>
  <c r="J18" i="4" s="1"/>
  <c r="E16" i="1"/>
  <c r="A15" i="1"/>
  <c r="G19" i="4"/>
  <c r="H19" i="4" s="1"/>
  <c r="I19" i="4" l="1"/>
  <c r="J19" i="4" s="1"/>
  <c r="E17" i="1"/>
  <c r="A16" i="1"/>
  <c r="G20" i="4"/>
  <c r="H20" i="4" s="1"/>
  <c r="I20" i="4" l="1"/>
  <c r="J20" i="4" s="1"/>
  <c r="E18" i="1"/>
  <c r="A17" i="1"/>
  <c r="G21" i="4"/>
  <c r="H21" i="4" s="1"/>
  <c r="I21" i="4" l="1"/>
  <c r="J21" i="4" s="1"/>
  <c r="E19" i="1"/>
  <c r="A18" i="1"/>
  <c r="G22" i="4"/>
  <c r="H22" i="4" s="1"/>
  <c r="I22" i="4" l="1"/>
  <c r="J22" i="4" s="1"/>
  <c r="E20" i="1"/>
  <c r="A19" i="1"/>
  <c r="G23" i="4"/>
  <c r="H23" i="4" s="1"/>
  <c r="I23" i="4" l="1"/>
  <c r="J23" i="4" s="1"/>
  <c r="E21" i="1"/>
  <c r="A20" i="1"/>
  <c r="G24" i="4"/>
  <c r="H24" i="4" s="1"/>
  <c r="I24" i="4" l="1"/>
  <c r="J24" i="4" s="1"/>
  <c r="E22" i="1"/>
  <c r="A21" i="1"/>
  <c r="G25" i="4"/>
  <c r="H25" i="4" s="1"/>
  <c r="I25" i="4" l="1"/>
  <c r="J25" i="4" s="1"/>
  <c r="E23" i="1"/>
  <c r="A22" i="1"/>
  <c r="G26" i="4"/>
  <c r="H26" i="4" s="1"/>
  <c r="I26" i="4" l="1"/>
  <c r="J26" i="4" s="1"/>
  <c r="E24" i="1"/>
  <c r="A23" i="1"/>
  <c r="G27" i="4"/>
  <c r="H27" i="4" s="1"/>
  <c r="I27" i="4" l="1"/>
  <c r="J27" i="4" s="1"/>
  <c r="E25" i="1"/>
  <c r="A24" i="1"/>
  <c r="G28" i="4"/>
  <c r="H28" i="4" s="1"/>
  <c r="I28" i="4" l="1"/>
  <c r="J28" i="4" s="1"/>
  <c r="E26" i="1"/>
  <c r="A25" i="1"/>
  <c r="G29" i="4"/>
  <c r="H29" i="4" s="1"/>
  <c r="I29" i="4" l="1"/>
  <c r="J29" i="4" s="1"/>
  <c r="E27" i="1"/>
  <c r="A26" i="1"/>
  <c r="G30" i="4"/>
  <c r="H30" i="4" s="1"/>
  <c r="I30" i="4" l="1"/>
  <c r="J30" i="4" s="1"/>
  <c r="E28" i="1"/>
  <c r="A27" i="1"/>
  <c r="G31" i="4"/>
  <c r="H31" i="4" s="1"/>
  <c r="H32" i="4" s="1"/>
  <c r="H33" i="4" s="1"/>
  <c r="H34" i="4" s="1"/>
  <c r="I31" i="4" l="1"/>
  <c r="J31" i="4" s="1"/>
  <c r="J32" i="4" s="1"/>
  <c r="J33" i="4" s="1"/>
  <c r="J34" i="4" s="1"/>
  <c r="E29" i="1"/>
  <c r="A29" i="1" s="1"/>
  <c r="A28" i="1"/>
  <c r="I32" i="4" l="1"/>
  <c r="I33" i="4" s="1"/>
  <c r="I34" i="4" s="1"/>
</calcChain>
</file>

<file path=xl/comments1.xml><?xml version="1.0" encoding="utf-8"?>
<comments xmlns="http://schemas.openxmlformats.org/spreadsheetml/2006/main">
  <authors>
    <author>COMPAQ</author>
  </authors>
  <commentList>
    <comment ref="I7" authorId="0">
      <text>
        <r>
          <rPr>
            <sz val="12"/>
            <color indexed="81"/>
            <rFont val="Tahoma"/>
            <family val="2"/>
          </rPr>
          <t xml:space="preserve">
volumen incial de Estanque</t>
        </r>
      </text>
    </comment>
  </commentList>
</comments>
</file>

<file path=xl/sharedStrings.xml><?xml version="1.0" encoding="utf-8"?>
<sst xmlns="http://schemas.openxmlformats.org/spreadsheetml/2006/main" count="127" uniqueCount="89">
  <si>
    <t>m3</t>
  </si>
  <si>
    <t>m3/h</t>
  </si>
  <si>
    <t>l/s</t>
  </si>
  <si>
    <t>bomba</t>
  </si>
  <si>
    <t>consumo</t>
  </si>
  <si>
    <t>Modulación</t>
  </si>
  <si>
    <t>hora</t>
  </si>
  <si>
    <t>Bombeo</t>
  </si>
  <si>
    <t>Consumo</t>
  </si>
  <si>
    <t>Suma 
Consumo</t>
  </si>
  <si>
    <t>Suma 
Bomba</t>
  </si>
  <si>
    <t>Consumo medio Día</t>
  </si>
  <si>
    <t>Ejemplo 1</t>
  </si>
  <si>
    <t>m3/hr</t>
  </si>
  <si>
    <t>m3/hr.</t>
  </si>
  <si>
    <t>Coeficiente</t>
  </si>
  <si>
    <t>Diferencia</t>
  </si>
  <si>
    <t>Nivel Est.
M3</t>
  </si>
  <si>
    <t>m3/d</t>
  </si>
  <si>
    <t>Relación bombeo/consumo</t>
  </si>
  <si>
    <t>capac.Bombas optima</t>
  </si>
  <si>
    <t>Curva de Modulación tipo</t>
  </si>
  <si>
    <t>Población</t>
  </si>
  <si>
    <t>Dotación</t>
  </si>
  <si>
    <t>Vol. Est. M3</t>
  </si>
  <si>
    <t>Vol. Est. =</t>
  </si>
  <si>
    <t>l/min</t>
  </si>
  <si>
    <t>Caudal Máximo Diario</t>
  </si>
  <si>
    <t>l/s/parcela</t>
  </si>
  <si>
    <t>L/S</t>
  </si>
  <si>
    <t>M3/H</t>
  </si>
  <si>
    <t>Máximo Diario</t>
  </si>
  <si>
    <t>M3/día</t>
  </si>
  <si>
    <t>Parcelas</t>
  </si>
  <si>
    <t>Consumo
m3/h</t>
  </si>
  <si>
    <t>Cons.
Promedio m3/h</t>
  </si>
  <si>
    <t>Promedio</t>
  </si>
  <si>
    <t>Max</t>
  </si>
  <si>
    <t>Min</t>
  </si>
  <si>
    <t>Hr. Punta</t>
  </si>
  <si>
    <t>hrs.</t>
  </si>
  <si>
    <t>Nivel Est.
Mts.</t>
  </si>
  <si>
    <t>máx</t>
  </si>
  <si>
    <t>min</t>
  </si>
  <si>
    <t>MAXIMO 200 PARCELAS CONECTADAS CON BOMBA 4,5 L/S.</t>
  </si>
  <si>
    <t>MAXIMO 320 PARCELAS CONECTADAS CON BOMBA 6,5 L/S.</t>
  </si>
  <si>
    <t>AL  EST. MIRADOR DEL GUILA PARA EL VERANO 2016.</t>
  </si>
  <si>
    <t>PROYECCIÓN DE POBLACIÓN ABASTECIDA Y DEMANDA DE AGUA POTABLE</t>
  </si>
  <si>
    <t>APR:</t>
  </si>
  <si>
    <t>xxxx</t>
  </si>
  <si>
    <t>INFORMACION BASE</t>
  </si>
  <si>
    <t>Población actual =</t>
  </si>
  <si>
    <t>Hab</t>
  </si>
  <si>
    <t>AÑO 2010</t>
  </si>
  <si>
    <t>Densidad =</t>
  </si>
  <si>
    <t>Hab/viv</t>
  </si>
  <si>
    <t>Densidad  adoptada =</t>
  </si>
  <si>
    <t>Dotación Actual =</t>
  </si>
  <si>
    <t>l/hab/día</t>
  </si>
  <si>
    <t>Dotación Adoptada =</t>
  </si>
  <si>
    <t>Caudal de bombeo Actual =</t>
  </si>
  <si>
    <t>Vol. de regulación Exist.    =</t>
  </si>
  <si>
    <t>Viviendas C/arranque=</t>
  </si>
  <si>
    <t>Viv.</t>
  </si>
  <si>
    <t>Viviendas S/arranque=</t>
  </si>
  <si>
    <t>Viv. en Lista de espera     =</t>
  </si>
  <si>
    <t>Conj. Hab Futuro                 =</t>
  </si>
  <si>
    <t>Escuelas y jardin Infantil =</t>
  </si>
  <si>
    <t>Tasa de Crecimiento  Anual =</t>
  </si>
  <si>
    <t>%/año</t>
  </si>
  <si>
    <t>Año</t>
  </si>
  <si>
    <t>Clientes</t>
  </si>
  <si>
    <t>Perdidas</t>
  </si>
  <si>
    <t>Producción</t>
  </si>
  <si>
    <t>Coef. Máx</t>
  </si>
  <si>
    <t>Caudales/L/s)</t>
  </si>
  <si>
    <t>Regulación</t>
  </si>
  <si>
    <t>Abastecida</t>
  </si>
  <si>
    <t>Nº</t>
  </si>
  <si>
    <r>
      <t>(m</t>
    </r>
    <r>
      <rPr>
        <b/>
        <i/>
        <vertAlign val="superscript"/>
        <sz val="11"/>
        <rFont val="Arial"/>
        <family val="2"/>
      </rPr>
      <t>3</t>
    </r>
    <r>
      <rPr>
        <b/>
        <i/>
        <sz val="11"/>
        <rFont val="Arial"/>
        <family val="2"/>
      </rPr>
      <t>)</t>
    </r>
  </si>
  <si>
    <t>(%)</t>
  </si>
  <si>
    <t>Diario</t>
  </si>
  <si>
    <t>Qmedio</t>
  </si>
  <si>
    <t>Qmáx
diario</t>
  </si>
  <si>
    <t>Bombeo
(hrs)</t>
  </si>
  <si>
    <t>Qmáx
horario</t>
  </si>
  <si>
    <t>(Hab.)</t>
  </si>
  <si>
    <t>(Lt/Hab/día)</t>
  </si>
  <si>
    <t>viviendas futuras menos actuales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</si>
</sst>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7" formatCode="#,##0.000"/>
    <numFmt numFmtId="168" formatCode="#,##0.0000000"/>
    <numFmt numFmtId="169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</cellStyleXfs>
  <cellXfs count="14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164" fontId="0" fillId="2" borderId="0" xfId="0" applyNumberFormat="1" applyFill="1"/>
    <xf numFmtId="2" fontId="0" fillId="0" borderId="1" xfId="0" applyNumberFormat="1" applyBorder="1"/>
    <xf numFmtId="164" fontId="0" fillId="2" borderId="1" xfId="0" applyNumberFormat="1" applyFill="1" applyBorder="1"/>
    <xf numFmtId="0" fontId="0" fillId="2" borderId="0" xfId="0" applyFill="1" applyAlignment="1">
      <alignment horizontal="center"/>
    </xf>
    <xf numFmtId="2" fontId="0" fillId="2" borderId="0" xfId="0" applyNumberFormat="1" applyFill="1"/>
    <xf numFmtId="2" fontId="1" fillId="2" borderId="0" xfId="0" applyNumberFormat="1" applyFont="1" applyFill="1"/>
    <xf numFmtId="0" fontId="6" fillId="2" borderId="1" xfId="0" applyFont="1" applyFill="1" applyBorder="1"/>
    <xf numFmtId="3" fontId="0" fillId="0" borderId="0" xfId="0" applyNumberFormat="1"/>
    <xf numFmtId="164" fontId="4" fillId="2" borderId="1" xfId="0" applyNumberFormat="1" applyFont="1" applyFill="1" applyBorder="1"/>
    <xf numFmtId="164" fontId="9" fillId="2" borderId="0" xfId="0" applyNumberFormat="1" applyFont="1" applyFill="1"/>
    <xf numFmtId="0" fontId="1" fillId="0" borderId="0" xfId="0" applyFont="1"/>
    <xf numFmtId="0" fontId="11" fillId="0" borderId="0" xfId="0" applyFont="1"/>
    <xf numFmtId="0" fontId="13" fillId="0" borderId="0" xfId="0" applyFont="1"/>
    <xf numFmtId="2" fontId="0" fillId="2" borderId="1" xfId="0" applyNumberFormat="1" applyFill="1" applyBorder="1"/>
    <xf numFmtId="0" fontId="0" fillId="2" borderId="1" xfId="0" applyFill="1" applyBorder="1"/>
    <xf numFmtId="0" fontId="5" fillId="2" borderId="0" xfId="0" applyFont="1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5" fontId="0" fillId="2" borderId="0" xfId="0" applyNumberFormat="1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7" fillId="2" borderId="1" xfId="0" applyNumberFormat="1" applyFont="1" applyFill="1" applyBorder="1"/>
    <xf numFmtId="164" fontId="16" fillId="2" borderId="1" xfId="0" applyNumberFormat="1" applyFont="1" applyFill="1" applyBorder="1"/>
    <xf numFmtId="165" fontId="8" fillId="2" borderId="1" xfId="0" applyNumberFormat="1" applyFont="1" applyFill="1" applyBorder="1"/>
    <xf numFmtId="164" fontId="15" fillId="2" borderId="1" xfId="0" applyNumberFormat="1" applyFont="1" applyFill="1" applyBorder="1"/>
    <xf numFmtId="4" fontId="0" fillId="2" borderId="0" xfId="0" applyNumberFormat="1" applyFill="1"/>
    <xf numFmtId="3" fontId="0" fillId="2" borderId="0" xfId="0" applyNumberFormat="1" applyFill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5" fontId="17" fillId="2" borderId="0" xfId="0" applyNumberFormat="1" applyFont="1" applyFill="1"/>
    <xf numFmtId="2" fontId="18" fillId="2" borderId="0" xfId="0" applyNumberFormat="1" applyFont="1" applyFill="1" applyAlignment="1">
      <alignment horizontal="right"/>
    </xf>
    <xf numFmtId="164" fontId="18" fillId="2" borderId="1" xfId="0" applyNumberFormat="1" applyFont="1" applyFill="1" applyBorder="1"/>
    <xf numFmtId="1" fontId="6" fillId="2" borderId="0" xfId="0" applyNumberFormat="1" applyFont="1" applyFill="1"/>
    <xf numFmtId="0" fontId="0" fillId="0" borderId="0" xfId="0" applyAlignment="1">
      <alignment horizontal="left"/>
    </xf>
    <xf numFmtId="0" fontId="8" fillId="2" borderId="1" xfId="0" applyFont="1" applyFill="1" applyBorder="1"/>
    <xf numFmtId="1" fontId="6" fillId="2" borderId="1" xfId="0" applyNumberFormat="1" applyFont="1" applyFill="1" applyBorder="1"/>
    <xf numFmtId="0" fontId="3" fillId="2" borderId="0" xfId="0" applyFont="1" applyFill="1" applyAlignment="1">
      <alignment vertical="top" wrapText="1"/>
    </xf>
    <xf numFmtId="2" fontId="0" fillId="2" borderId="1" xfId="0" applyNumberFormat="1" applyFill="1" applyBorder="1" applyAlignment="1">
      <alignment horizontal="center"/>
    </xf>
    <xf numFmtId="164" fontId="0" fillId="2" borderId="5" xfId="0" applyNumberFormat="1" applyFill="1" applyBorder="1"/>
    <xf numFmtId="164" fontId="0" fillId="2" borderId="6" xfId="0" applyNumberFormat="1" applyFill="1" applyBorder="1"/>
    <xf numFmtId="0" fontId="0" fillId="2" borderId="0" xfId="0" applyFill="1" applyAlignment="1">
      <alignment horizontal="center" wrapText="1"/>
    </xf>
    <xf numFmtId="0" fontId="19" fillId="0" borderId="0" xfId="1" applyFont="1" applyAlignment="1">
      <alignment horizontal="left"/>
    </xf>
    <xf numFmtId="4" fontId="20" fillId="0" borderId="0" xfId="1" applyNumberFormat="1" applyFont="1" applyAlignment="1">
      <alignment horizontal="centerContinuous"/>
    </xf>
    <xf numFmtId="0" fontId="20" fillId="0" borderId="0" xfId="1" applyFont="1"/>
    <xf numFmtId="0" fontId="12" fillId="0" borderId="0" xfId="1"/>
    <xf numFmtId="0" fontId="19" fillId="0" borderId="0" xfId="1" applyFont="1" applyAlignment="1">
      <alignment horizontal="left"/>
    </xf>
    <xf numFmtId="3" fontId="19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centerContinuous"/>
    </xf>
    <xf numFmtId="0" fontId="20" fillId="0" borderId="0" xfId="1" applyFont="1" applyAlignment="1">
      <alignment horizontal="centerContinuous"/>
    </xf>
    <xf numFmtId="0" fontId="21" fillId="0" borderId="0" xfId="1" applyFont="1" applyAlignment="1">
      <alignment horizontal="left"/>
    </xf>
    <xf numFmtId="3" fontId="19" fillId="0" borderId="0" xfId="1" applyNumberFormat="1" applyFont="1" applyAlignment="1"/>
    <xf numFmtId="3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49" fontId="22" fillId="0" borderId="0" xfId="1" applyNumberFormat="1" applyFont="1" applyAlignment="1">
      <alignment horizontal="left" indent="1"/>
    </xf>
    <xf numFmtId="4" fontId="19" fillId="0" borderId="0" xfId="1" applyNumberFormat="1" applyFont="1" applyAlignment="1">
      <alignment horizontal="centerContinuous"/>
    </xf>
    <xf numFmtId="167" fontId="20" fillId="0" borderId="0" xfId="1" applyNumberFormat="1" applyFont="1" applyAlignment="1">
      <alignment horizontal="centerContinuous"/>
    </xf>
    <xf numFmtId="164" fontId="19" fillId="0" borderId="0" xfId="1" applyNumberFormat="1" applyFont="1" applyAlignment="1">
      <alignment horizontal="center"/>
    </xf>
    <xf numFmtId="168" fontId="20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left"/>
    </xf>
    <xf numFmtId="3" fontId="23" fillId="0" borderId="0" xfId="1" applyNumberFormat="1" applyFont="1" applyAlignment="1">
      <alignment horizontal="center"/>
    </xf>
    <xf numFmtId="3" fontId="12" fillId="0" borderId="0" xfId="1" applyNumberFormat="1"/>
    <xf numFmtId="169" fontId="19" fillId="0" borderId="0" xfId="2" applyNumberFormat="1" applyFont="1" applyAlignment="1">
      <alignment horizontal="center"/>
    </xf>
    <xf numFmtId="9" fontId="20" fillId="0" borderId="0" xfId="2" applyNumberFormat="1" applyFont="1" applyAlignment="1">
      <alignment horizontal="center"/>
    </xf>
    <xf numFmtId="4" fontId="20" fillId="0" borderId="0" xfId="1" applyNumberFormat="1" applyFont="1" applyAlignment="1">
      <alignment horizontal="left"/>
    </xf>
    <xf numFmtId="3" fontId="20" fillId="0" borderId="0" xfId="1" applyNumberFormat="1" applyFont="1"/>
    <xf numFmtId="4" fontId="20" fillId="0" borderId="0" xfId="1" applyNumberFormat="1" applyFont="1"/>
    <xf numFmtId="0" fontId="24" fillId="3" borderId="7" xfId="1" applyFont="1" applyFill="1" applyBorder="1" applyAlignment="1">
      <alignment horizontal="center"/>
    </xf>
    <xf numFmtId="3" fontId="24" fillId="3" borderId="8" xfId="1" applyNumberFormat="1" applyFont="1" applyFill="1" applyBorder="1" applyAlignment="1">
      <alignment horizontal="center"/>
    </xf>
    <xf numFmtId="0" fontId="24" fillId="3" borderId="8" xfId="1" applyFont="1" applyFill="1" applyBorder="1" applyAlignment="1">
      <alignment horizontal="center"/>
    </xf>
    <xf numFmtId="4" fontId="24" fillId="3" borderId="8" xfId="1" applyNumberFormat="1" applyFont="1" applyFill="1" applyBorder="1" applyAlignment="1">
      <alignment horizontal="center"/>
    </xf>
    <xf numFmtId="4" fontId="24" fillId="3" borderId="8" xfId="1" applyNumberFormat="1" applyFont="1" applyFill="1" applyBorder="1" applyAlignment="1">
      <alignment horizontal="centerContinuous"/>
    </xf>
    <xf numFmtId="0" fontId="24" fillId="3" borderId="9" xfId="1" applyFont="1" applyFill="1" applyBorder="1" applyAlignment="1">
      <alignment horizontal="centerContinuous"/>
    </xf>
    <xf numFmtId="3" fontId="24" fillId="3" borderId="10" xfId="1" applyNumberFormat="1" applyFont="1" applyFill="1" applyBorder="1" applyAlignment="1">
      <alignment horizontal="center"/>
    </xf>
    <xf numFmtId="3" fontId="24" fillId="3" borderId="11" xfId="1" applyNumberFormat="1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24" fillId="3" borderId="12" xfId="1" applyFont="1" applyFill="1" applyBorder="1"/>
    <xf numFmtId="3" fontId="24" fillId="3" borderId="13" xfId="1" applyNumberFormat="1" applyFont="1" applyFill="1" applyBorder="1" applyAlignment="1">
      <alignment horizontal="center"/>
    </xf>
    <xf numFmtId="0" fontId="24" fillId="3" borderId="13" xfId="1" applyFont="1" applyFill="1" applyBorder="1" applyAlignment="1">
      <alignment horizontal="center"/>
    </xf>
    <xf numFmtId="4" fontId="24" fillId="3" borderId="13" xfId="1" applyNumberFormat="1" applyFont="1" applyFill="1" applyBorder="1" applyAlignment="1">
      <alignment horizontal="center"/>
    </xf>
    <xf numFmtId="4" fontId="24" fillId="3" borderId="14" xfId="1" applyNumberFormat="1" applyFont="1" applyFill="1" applyBorder="1" applyAlignment="1">
      <alignment horizontal="center"/>
    </xf>
    <xf numFmtId="0" fontId="24" fillId="3" borderId="14" xfId="1" applyFont="1" applyFill="1" applyBorder="1" applyAlignment="1">
      <alignment horizontal="center" wrapText="1"/>
    </xf>
    <xf numFmtId="0" fontId="24" fillId="3" borderId="2" xfId="1" applyFont="1" applyFill="1" applyBorder="1" applyAlignment="1">
      <alignment horizontal="center" wrapText="1"/>
    </xf>
    <xf numFmtId="0" fontId="24" fillId="3" borderId="15" xfId="1" applyFont="1" applyFill="1" applyBorder="1" applyAlignment="1">
      <alignment horizontal="center" wrapText="1"/>
    </xf>
    <xf numFmtId="3" fontId="24" fillId="3" borderId="16" xfId="1" applyNumberFormat="1" applyFont="1" applyFill="1" applyBorder="1" applyAlignment="1">
      <alignment horizontal="center"/>
    </xf>
    <xf numFmtId="3" fontId="24" fillId="3" borderId="17" xfId="1" applyNumberFormat="1" applyFont="1" applyFill="1" applyBorder="1" applyAlignment="1">
      <alignment horizontal="center"/>
    </xf>
    <xf numFmtId="0" fontId="24" fillId="3" borderId="18" xfId="1" applyFont="1" applyFill="1" applyBorder="1"/>
    <xf numFmtId="3" fontId="24" fillId="3" borderId="19" xfId="1" applyNumberFormat="1" applyFont="1" applyFill="1" applyBorder="1" applyAlignment="1">
      <alignment horizontal="center"/>
    </xf>
    <xf numFmtId="0" fontId="24" fillId="3" borderId="19" xfId="1" applyFont="1" applyFill="1" applyBorder="1" applyAlignment="1">
      <alignment horizontal="center"/>
    </xf>
    <xf numFmtId="4" fontId="24" fillId="3" borderId="19" xfId="1" applyNumberFormat="1" applyFont="1" applyFill="1" applyBorder="1"/>
    <xf numFmtId="4" fontId="24" fillId="3" borderId="19" xfId="1" applyNumberFormat="1" applyFont="1" applyFill="1" applyBorder="1" applyAlignment="1">
      <alignment horizontal="center"/>
    </xf>
    <xf numFmtId="0" fontId="24" fillId="3" borderId="19" xfId="1" applyFont="1" applyFill="1" applyBorder="1" applyAlignment="1">
      <alignment horizontal="center" wrapText="1"/>
    </xf>
    <xf numFmtId="0" fontId="24" fillId="3" borderId="2" xfId="1" applyFont="1" applyFill="1" applyBorder="1" applyAlignment="1">
      <alignment horizontal="center"/>
    </xf>
    <xf numFmtId="0" fontId="24" fillId="3" borderId="20" xfId="1" applyFont="1" applyFill="1" applyBorder="1" applyAlignment="1">
      <alignment horizontal="center" wrapText="1"/>
    </xf>
    <xf numFmtId="9" fontId="24" fillId="3" borderId="21" xfId="2" quotePrefix="1" applyFont="1" applyFill="1" applyBorder="1" applyAlignment="1">
      <alignment horizontal="center"/>
    </xf>
    <xf numFmtId="9" fontId="24" fillId="3" borderId="22" xfId="2" quotePrefix="1" applyFont="1" applyFill="1" applyBorder="1" applyAlignment="1">
      <alignment horizontal="center"/>
    </xf>
    <xf numFmtId="0" fontId="12" fillId="0" borderId="0" xfId="1" applyAlignment="1">
      <alignment horizontal="center"/>
    </xf>
    <xf numFmtId="0" fontId="20" fillId="0" borderId="12" xfId="1" applyFont="1" applyBorder="1" applyAlignment="1">
      <alignment horizontal="center"/>
    </xf>
    <xf numFmtId="3" fontId="20" fillId="0" borderId="13" xfId="1" applyNumberFormat="1" applyFont="1" applyBorder="1" applyAlignment="1">
      <alignment horizontal="center"/>
    </xf>
    <xf numFmtId="3" fontId="26" fillId="0" borderId="13" xfId="1" applyNumberFormat="1" applyFont="1" applyBorder="1" applyAlignment="1">
      <alignment horizontal="center"/>
    </xf>
    <xf numFmtId="1" fontId="20" fillId="0" borderId="13" xfId="1" applyNumberFormat="1" applyFont="1" applyBorder="1" applyAlignment="1">
      <alignment horizontal="center"/>
    </xf>
    <xf numFmtId="9" fontId="20" fillId="0" borderId="13" xfId="2" applyFont="1" applyFill="1" applyBorder="1" applyAlignment="1">
      <alignment horizontal="center"/>
    </xf>
    <xf numFmtId="4" fontId="20" fillId="0" borderId="13" xfId="1" applyNumberFormat="1" applyFont="1" applyFill="1" applyBorder="1" applyAlignment="1">
      <alignment horizontal="center"/>
    </xf>
    <xf numFmtId="164" fontId="20" fillId="0" borderId="13" xfId="1" applyNumberFormat="1" applyFont="1" applyBorder="1" applyAlignment="1">
      <alignment horizontal="center"/>
    </xf>
    <xf numFmtId="164" fontId="20" fillId="0" borderId="6" xfId="1" applyNumberFormat="1" applyFont="1" applyFill="1" applyBorder="1" applyAlignment="1">
      <alignment horizontal="center"/>
    </xf>
    <xf numFmtId="164" fontId="20" fillId="0" borderId="6" xfId="1" applyNumberFormat="1" applyFont="1" applyBorder="1" applyAlignment="1">
      <alignment horizontal="center"/>
    </xf>
    <xf numFmtId="164" fontId="20" fillId="0" borderId="23" xfId="1" applyNumberFormat="1" applyFont="1" applyBorder="1" applyAlignment="1">
      <alignment horizontal="center"/>
    </xf>
    <xf numFmtId="3" fontId="20" fillId="0" borderId="24" xfId="1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center"/>
    </xf>
    <xf numFmtId="2" fontId="20" fillId="0" borderId="0" xfId="1" applyNumberFormat="1" applyFont="1" applyAlignment="1">
      <alignment horizontal="center"/>
    </xf>
    <xf numFmtId="165" fontId="20" fillId="0" borderId="0" xfId="1" applyNumberFormat="1" applyFont="1" applyAlignment="1">
      <alignment horizontal="center"/>
    </xf>
    <xf numFmtId="3" fontId="20" fillId="0" borderId="12" xfId="1" applyNumberFormat="1" applyFont="1" applyBorder="1" applyAlignment="1">
      <alignment horizontal="center"/>
    </xf>
    <xf numFmtId="3" fontId="20" fillId="0" borderId="23" xfId="1" applyNumberFormat="1" applyFont="1" applyBorder="1" applyAlignment="1">
      <alignment horizontal="center"/>
    </xf>
    <xf numFmtId="0" fontId="20" fillId="0" borderId="25" xfId="1" applyFont="1" applyBorder="1" applyAlignment="1">
      <alignment horizontal="center"/>
    </xf>
    <xf numFmtId="3" fontId="20" fillId="0" borderId="26" xfId="1" applyNumberFormat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164" fontId="20" fillId="0" borderId="26" xfId="1" applyNumberFormat="1" applyFont="1" applyBorder="1" applyAlignment="1">
      <alignment horizontal="center"/>
    </xf>
    <xf numFmtId="4" fontId="20" fillId="0" borderId="26" xfId="1" applyNumberFormat="1" applyFont="1" applyBorder="1" applyAlignment="1">
      <alignment horizontal="center"/>
    </xf>
    <xf numFmtId="4" fontId="20" fillId="0" borderId="27" xfId="1" applyNumberFormat="1" applyFont="1" applyFill="1" applyBorder="1" applyAlignment="1">
      <alignment horizontal="center"/>
    </xf>
    <xf numFmtId="4" fontId="20" fillId="0" borderId="27" xfId="1" applyNumberFormat="1" applyFont="1" applyBorder="1" applyAlignment="1">
      <alignment horizontal="center"/>
    </xf>
    <xf numFmtId="4" fontId="20" fillId="0" borderId="28" xfId="1" applyNumberFormat="1" applyFont="1" applyBorder="1" applyAlignment="1">
      <alignment horizontal="center"/>
    </xf>
    <xf numFmtId="4" fontId="20" fillId="0" borderId="25" xfId="1" applyNumberFormat="1" applyFont="1" applyBorder="1" applyAlignment="1">
      <alignment horizontal="center"/>
    </xf>
    <xf numFmtId="3" fontId="20" fillId="0" borderId="0" xfId="1" applyNumberFormat="1" applyFont="1" applyAlignment="1">
      <alignment horizontal="center"/>
    </xf>
    <xf numFmtId="4" fontId="20" fillId="0" borderId="0" xfId="1" applyNumberFormat="1" applyFont="1" applyAlignment="1">
      <alignment horizontal="center"/>
    </xf>
    <xf numFmtId="0" fontId="12" fillId="0" borderId="2" xfId="1" applyBorder="1"/>
    <xf numFmtId="3" fontId="12" fillId="0" borderId="3" xfId="1" applyNumberFormat="1" applyBorder="1" applyAlignment="1">
      <alignment horizontal="center"/>
    </xf>
    <xf numFmtId="3" fontId="12" fillId="0" borderId="3" xfId="1" applyNumberFormat="1" applyBorder="1" applyAlignment="1">
      <alignment horizontal="right"/>
    </xf>
    <xf numFmtId="3" fontId="12" fillId="0" borderId="4" xfId="1" applyNumberFormat="1" applyBorder="1" applyAlignment="1">
      <alignment horizontal="center"/>
    </xf>
    <xf numFmtId="3" fontId="12" fillId="0" borderId="0" xfId="1" applyNumberFormat="1" applyAlignment="1">
      <alignment horizontal="center"/>
    </xf>
    <xf numFmtId="4" fontId="12" fillId="0" borderId="0" xfId="1" applyNumberFormat="1"/>
    <xf numFmtId="4" fontId="12" fillId="0" borderId="0" xfId="1" applyNumberFormat="1" applyAlignment="1">
      <alignment horizontal="left"/>
    </xf>
    <xf numFmtId="0" fontId="12" fillId="0" borderId="0" xfId="1" applyBorder="1"/>
    <xf numFmtId="3" fontId="12" fillId="0" borderId="0" xfId="1" applyNumberFormat="1" applyBorder="1" applyAlignment="1">
      <alignment horizontal="center"/>
    </xf>
    <xf numFmtId="3" fontId="12" fillId="0" borderId="0" xfId="1" applyNumberFormat="1" applyBorder="1" applyAlignment="1">
      <alignment horizontal="right"/>
    </xf>
    <xf numFmtId="0" fontId="14" fillId="0" borderId="0" xfId="1" applyFont="1"/>
    <xf numFmtId="3" fontId="12" fillId="0" borderId="0" xfId="1" applyNumberFormat="1" applyFont="1" applyAlignment="1">
      <alignment horizontal="left"/>
    </xf>
    <xf numFmtId="4" fontId="12" fillId="0" borderId="0" xfId="1" applyNumberFormat="1" applyAlignment="1">
      <alignment horizontal="center"/>
    </xf>
  </cellXfs>
  <cellStyles count="10">
    <cellStyle name="F2" xfId="3"/>
    <cellStyle name="F3" xfId="4"/>
    <cellStyle name="F4" xfId="5"/>
    <cellStyle name="F5" xfId="6"/>
    <cellStyle name="F6" xfId="7"/>
    <cellStyle name="F7" xfId="8"/>
    <cellStyle name="F8" xfId="9"/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18560416510163E-2"/>
          <c:y val="3.1038107772565066E-2"/>
          <c:w val="0.7747071354012357"/>
          <c:h val="0.8967568178562475"/>
        </c:manualLayout>
      </c:layout>
      <c:lineChart>
        <c:grouping val="standard"/>
        <c:varyColors val="0"/>
        <c:ser>
          <c:idx val="3"/>
          <c:order val="0"/>
          <c:tx>
            <c:v>Consumo</c:v>
          </c:tx>
          <c:cat>
            <c:numRef>
              <c:f>SimulaEST1!$B$8:$B$31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SimulaEST1!$E$8:$E$31</c:f>
              <c:numCache>
                <c:formatCode>#,##0.0</c:formatCode>
                <c:ptCount val="24"/>
                <c:pt idx="0">
                  <c:v>13.121999999999996</c:v>
                </c:pt>
                <c:pt idx="1">
                  <c:v>21.869999999999994</c:v>
                </c:pt>
                <c:pt idx="2">
                  <c:v>26.243999999999993</c:v>
                </c:pt>
                <c:pt idx="3">
                  <c:v>30.617999999999991</c:v>
                </c:pt>
                <c:pt idx="4">
                  <c:v>43.739999999999988</c:v>
                </c:pt>
                <c:pt idx="5">
                  <c:v>65.609999999999985</c:v>
                </c:pt>
                <c:pt idx="6">
                  <c:v>104.97599999999997</c:v>
                </c:pt>
                <c:pt idx="7">
                  <c:v>170.58599999999996</c:v>
                </c:pt>
                <c:pt idx="8">
                  <c:v>236.19599999999994</c:v>
                </c:pt>
                <c:pt idx="9">
                  <c:v>301.80599999999993</c:v>
                </c:pt>
                <c:pt idx="10">
                  <c:v>365.22899999999993</c:v>
                </c:pt>
                <c:pt idx="11">
                  <c:v>424.27799999999991</c:v>
                </c:pt>
                <c:pt idx="12">
                  <c:v>485.5139999999999</c:v>
                </c:pt>
                <c:pt idx="13">
                  <c:v>546.74999999999989</c:v>
                </c:pt>
                <c:pt idx="14">
                  <c:v>603.61199999999985</c:v>
                </c:pt>
                <c:pt idx="15">
                  <c:v>651.72599999999989</c:v>
                </c:pt>
                <c:pt idx="16">
                  <c:v>695.46599999999989</c:v>
                </c:pt>
                <c:pt idx="17">
                  <c:v>734.83199999999988</c:v>
                </c:pt>
                <c:pt idx="18">
                  <c:v>778.57199999999989</c:v>
                </c:pt>
                <c:pt idx="19">
                  <c:v>831.05999999999983</c:v>
                </c:pt>
                <c:pt idx="20">
                  <c:v>885.73499999999979</c:v>
                </c:pt>
                <c:pt idx="21">
                  <c:v>938.22299999999973</c:v>
                </c:pt>
                <c:pt idx="22">
                  <c:v>977.58899999999971</c:v>
                </c:pt>
                <c:pt idx="23">
                  <c:v>999.45899999999972</c:v>
                </c:pt>
              </c:numCache>
            </c:numRef>
          </c:val>
          <c:smooth val="0"/>
        </c:ser>
        <c:ser>
          <c:idx val="5"/>
          <c:order val="1"/>
          <c:tx>
            <c:v>Bombeo</c:v>
          </c:tx>
          <c:cat>
            <c:numRef>
              <c:f>SimulaEST1!$B$8:$B$31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SimulaEST1!$G$8:$G$31</c:f>
              <c:numCache>
                <c:formatCode>#,##0.0</c:formatCode>
                <c:ptCount val="24"/>
                <c:pt idx="0">
                  <c:v>88.2</c:v>
                </c:pt>
                <c:pt idx="1">
                  <c:v>88.2</c:v>
                </c:pt>
                <c:pt idx="2">
                  <c:v>88.2</c:v>
                </c:pt>
                <c:pt idx="3">
                  <c:v>88.2</c:v>
                </c:pt>
                <c:pt idx="4">
                  <c:v>88.2</c:v>
                </c:pt>
                <c:pt idx="5">
                  <c:v>88.2</c:v>
                </c:pt>
                <c:pt idx="6">
                  <c:v>176.4</c:v>
                </c:pt>
                <c:pt idx="7">
                  <c:v>264.60000000000002</c:v>
                </c:pt>
                <c:pt idx="8">
                  <c:v>264.60000000000002</c:v>
                </c:pt>
                <c:pt idx="9">
                  <c:v>264.60000000000002</c:v>
                </c:pt>
                <c:pt idx="10">
                  <c:v>352.8</c:v>
                </c:pt>
                <c:pt idx="11">
                  <c:v>441</c:v>
                </c:pt>
                <c:pt idx="12">
                  <c:v>529.20000000000005</c:v>
                </c:pt>
                <c:pt idx="13">
                  <c:v>617.40000000000009</c:v>
                </c:pt>
                <c:pt idx="14">
                  <c:v>617.40000000000009</c:v>
                </c:pt>
                <c:pt idx="15">
                  <c:v>705.60000000000014</c:v>
                </c:pt>
                <c:pt idx="16">
                  <c:v>793.80000000000018</c:v>
                </c:pt>
                <c:pt idx="17">
                  <c:v>793.80000000000018</c:v>
                </c:pt>
                <c:pt idx="18">
                  <c:v>793.80000000000018</c:v>
                </c:pt>
                <c:pt idx="19">
                  <c:v>882.00000000000023</c:v>
                </c:pt>
                <c:pt idx="20">
                  <c:v>970.20000000000027</c:v>
                </c:pt>
                <c:pt idx="21">
                  <c:v>970.20000000000027</c:v>
                </c:pt>
                <c:pt idx="22">
                  <c:v>970.20000000000027</c:v>
                </c:pt>
                <c:pt idx="23">
                  <c:v>1058.4000000000003</c:v>
                </c:pt>
              </c:numCache>
            </c:numRef>
          </c:val>
          <c:smooth val="0"/>
        </c:ser>
        <c:ser>
          <c:idx val="7"/>
          <c:order val="2"/>
          <c:tx>
            <c:v>Nivel Est.</c:v>
          </c:tx>
          <c:spPr>
            <a:ln>
              <a:solidFill>
                <a:srgbClr val="00B050"/>
              </a:solidFill>
            </a:ln>
          </c:spPr>
          <c:cat>
            <c:numRef>
              <c:f>SimulaEST1!$B$8:$B$31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SimulaEST1!$I$8:$I$31</c:f>
              <c:numCache>
                <c:formatCode>#,##0.0</c:formatCode>
                <c:ptCount val="24"/>
                <c:pt idx="0">
                  <c:v>215.078</c:v>
                </c:pt>
                <c:pt idx="1">
                  <c:v>206.33</c:v>
                </c:pt>
                <c:pt idx="2">
                  <c:v>201.95600000000002</c:v>
                </c:pt>
                <c:pt idx="3">
                  <c:v>197.58200000000002</c:v>
                </c:pt>
                <c:pt idx="4">
                  <c:v>184.46000000000004</c:v>
                </c:pt>
                <c:pt idx="5">
                  <c:v>162.59000000000003</c:v>
                </c:pt>
                <c:pt idx="6">
                  <c:v>211.42400000000004</c:v>
                </c:pt>
                <c:pt idx="7">
                  <c:v>234.01400000000004</c:v>
                </c:pt>
                <c:pt idx="8">
                  <c:v>168.40400000000005</c:v>
                </c:pt>
                <c:pt idx="9">
                  <c:v>102.79400000000007</c:v>
                </c:pt>
                <c:pt idx="10">
                  <c:v>127.57100000000011</c:v>
                </c:pt>
                <c:pt idx="11">
                  <c:v>156.72200000000015</c:v>
                </c:pt>
                <c:pt idx="12">
                  <c:v>183.68600000000015</c:v>
                </c:pt>
                <c:pt idx="13">
                  <c:v>210.65000000000015</c:v>
                </c:pt>
                <c:pt idx="14">
                  <c:v>153.78800000000015</c:v>
                </c:pt>
                <c:pt idx="15">
                  <c:v>193.87400000000019</c:v>
                </c:pt>
                <c:pt idx="16">
                  <c:v>238.3340000000002</c:v>
                </c:pt>
                <c:pt idx="17">
                  <c:v>198.96800000000022</c:v>
                </c:pt>
                <c:pt idx="18">
                  <c:v>155.22800000000024</c:v>
                </c:pt>
                <c:pt idx="19">
                  <c:v>190.94000000000023</c:v>
                </c:pt>
                <c:pt idx="20">
                  <c:v>224.46500000000023</c:v>
                </c:pt>
                <c:pt idx="21">
                  <c:v>171.97700000000026</c:v>
                </c:pt>
                <c:pt idx="22">
                  <c:v>132.61100000000027</c:v>
                </c:pt>
                <c:pt idx="23">
                  <c:v>198.94100000000026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02048"/>
        <c:axId val="110803584"/>
      </c:lineChart>
      <c:catAx>
        <c:axId val="1108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03584"/>
        <c:crosses val="autoZero"/>
        <c:auto val="1"/>
        <c:lblAlgn val="ctr"/>
        <c:lblOffset val="100"/>
        <c:noMultiLvlLbl val="0"/>
      </c:catAx>
      <c:valAx>
        <c:axId val="11080358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0802048"/>
        <c:crosses val="autoZero"/>
        <c:crossBetween val="between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Curva de Modulación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Comportamiento Horario del Cliente</a:t>
            </a:r>
          </a:p>
        </c:rich>
      </c:tx>
      <c:layout>
        <c:manualLayout>
          <c:xMode val="edge"/>
          <c:yMode val="edge"/>
          <c:x val="0.40198863636364429"/>
          <c:y val="1.6233766233766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13636363636363635"/>
          <c:w val="0.84090909090910315"/>
          <c:h val="0.65584415584416655"/>
        </c:manualLayout>
      </c:layout>
      <c:lineChart>
        <c:grouping val="standard"/>
        <c:varyColors val="0"/>
        <c:ser>
          <c:idx val="2"/>
          <c:order val="0"/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1.7045454545454544E-2"/>
                  <c:y val="-7.359307359307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93939393939476E-2"/>
                  <c:y val="4.329004329004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727272727272766E-2"/>
                  <c:y val="-8.2251082251082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1439393939394006E-2"/>
                  <c:y val="-8.658008658008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9545454545454544E-2"/>
                  <c:y val="3.0303030303030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712121212121327E-2"/>
                  <c:y val="-2.5974025974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5757575757575812E-3"/>
                  <c:y val="-5.1948051948051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0606060606060622E-2"/>
                  <c:y val="6.0606060606060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9242424242424317E-2"/>
                  <c:y val="3.8961038961038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303030303030311E-2"/>
                  <c:y val="-4.7619388485530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4.329004329004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893939393939394E-3"/>
                  <c:y val="5.6277056277056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900" baseline="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CurvaMod!$B$6:$B$29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CurvaMod!$D$6:$D$29</c:f>
              <c:numCache>
                <c:formatCode>#,##0.0</c:formatCode>
                <c:ptCount val="24"/>
                <c:pt idx="0">
                  <c:v>5.0999999999999996</c:v>
                </c:pt>
                <c:pt idx="1">
                  <c:v>3.4000000000000004</c:v>
                </c:pt>
                <c:pt idx="2">
                  <c:v>1.7000000000000002</c:v>
                </c:pt>
                <c:pt idx="3">
                  <c:v>1.7000000000000002</c:v>
                </c:pt>
                <c:pt idx="4">
                  <c:v>5.0999999999999996</c:v>
                </c:pt>
                <c:pt idx="5">
                  <c:v>8.5</c:v>
                </c:pt>
                <c:pt idx="6">
                  <c:v>15.3</c:v>
                </c:pt>
                <c:pt idx="7">
                  <c:v>25.5</c:v>
                </c:pt>
                <c:pt idx="8">
                  <c:v>27.200000000000003</c:v>
                </c:pt>
                <c:pt idx="9">
                  <c:v>25.5</c:v>
                </c:pt>
                <c:pt idx="10">
                  <c:v>24.65</c:v>
                </c:pt>
                <c:pt idx="11">
                  <c:v>22.950000000000003</c:v>
                </c:pt>
                <c:pt idx="12">
                  <c:v>23.799999999999997</c:v>
                </c:pt>
                <c:pt idx="13">
                  <c:v>23.799999999999997</c:v>
                </c:pt>
                <c:pt idx="14">
                  <c:v>22.1</c:v>
                </c:pt>
                <c:pt idx="15">
                  <c:v>18.700000000000003</c:v>
                </c:pt>
                <c:pt idx="16">
                  <c:v>17</c:v>
                </c:pt>
                <c:pt idx="17">
                  <c:v>15.3</c:v>
                </c:pt>
                <c:pt idx="18">
                  <c:v>17</c:v>
                </c:pt>
                <c:pt idx="19">
                  <c:v>20.399999999999999</c:v>
                </c:pt>
                <c:pt idx="20">
                  <c:v>21.25</c:v>
                </c:pt>
                <c:pt idx="21">
                  <c:v>20.399999999999999</c:v>
                </c:pt>
                <c:pt idx="22">
                  <c:v>15.3</c:v>
                </c:pt>
                <c:pt idx="23">
                  <c:v>8.5</c:v>
                </c:pt>
              </c:numCache>
            </c:numRef>
          </c:val>
          <c:smooth val="0"/>
        </c:ser>
        <c:ser>
          <c:idx val="0"/>
          <c:order val="1"/>
          <c:cat>
            <c:numRef>
              <c:f>CurvaMod!$B$6:$B$29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CurvaMod!$E$6:$E$29</c:f>
              <c:numCache>
                <c:formatCode>#,##0.0</c:formatCode>
                <c:ptCount val="24"/>
                <c:pt idx="0">
                  <c:v>16.256250000000001</c:v>
                </c:pt>
                <c:pt idx="1">
                  <c:v>16.256250000000001</c:v>
                </c:pt>
                <c:pt idx="2">
                  <c:v>16.256250000000001</c:v>
                </c:pt>
                <c:pt idx="3">
                  <c:v>16.256250000000001</c:v>
                </c:pt>
                <c:pt idx="4">
                  <c:v>16.256250000000001</c:v>
                </c:pt>
                <c:pt idx="5">
                  <c:v>16.256250000000001</c:v>
                </c:pt>
                <c:pt idx="6">
                  <c:v>16.256250000000001</c:v>
                </c:pt>
                <c:pt idx="7">
                  <c:v>16.256250000000001</c:v>
                </c:pt>
                <c:pt idx="8">
                  <c:v>16.256250000000001</c:v>
                </c:pt>
                <c:pt idx="9">
                  <c:v>16.256250000000001</c:v>
                </c:pt>
                <c:pt idx="10">
                  <c:v>16.256250000000001</c:v>
                </c:pt>
                <c:pt idx="11">
                  <c:v>16.256250000000001</c:v>
                </c:pt>
                <c:pt idx="12">
                  <c:v>16.256250000000001</c:v>
                </c:pt>
                <c:pt idx="13">
                  <c:v>16.256250000000001</c:v>
                </c:pt>
                <c:pt idx="14">
                  <c:v>16.256250000000001</c:v>
                </c:pt>
                <c:pt idx="15">
                  <c:v>16.256250000000001</c:v>
                </c:pt>
                <c:pt idx="16">
                  <c:v>16.256250000000001</c:v>
                </c:pt>
                <c:pt idx="17">
                  <c:v>16.256250000000001</c:v>
                </c:pt>
                <c:pt idx="18">
                  <c:v>16.256250000000001</c:v>
                </c:pt>
                <c:pt idx="19">
                  <c:v>16.256250000000001</c:v>
                </c:pt>
                <c:pt idx="20">
                  <c:v>16.256250000000001</c:v>
                </c:pt>
                <c:pt idx="21">
                  <c:v>16.256250000000001</c:v>
                </c:pt>
                <c:pt idx="22">
                  <c:v>16.256250000000001</c:v>
                </c:pt>
                <c:pt idx="23">
                  <c:v>16.256250000000001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3904"/>
        <c:axId val="112605440"/>
      </c:lineChart>
      <c:dateAx>
        <c:axId val="11260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2605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60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M3/h</a:t>
                </a:r>
              </a:p>
            </c:rich>
          </c:tx>
          <c:layout>
            <c:manualLayout>
              <c:xMode val="edge"/>
              <c:yMode val="edge"/>
              <c:x val="2.2727272727273661E-2"/>
              <c:y val="0.42207792207792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260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966" r="0.75000000000000966" t="1" header="0" footer="0"/>
    <c:pageSetup orientation="portrait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Curva de Modulación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Comportamiento Horario del Cliente</a:t>
            </a:r>
          </a:p>
        </c:rich>
      </c:tx>
      <c:layout>
        <c:manualLayout>
          <c:xMode val="edge"/>
          <c:yMode val="edge"/>
          <c:x val="0.40198863636364457"/>
          <c:y val="1.6233766233766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13636363636363635"/>
          <c:w val="0.84090909090910348"/>
          <c:h val="0.65584415584416678"/>
        </c:manualLayout>
      </c:layout>
      <c:lineChart>
        <c:grouping val="standard"/>
        <c:varyColors val="0"/>
        <c:ser>
          <c:idx val="2"/>
          <c:order val="0"/>
          <c:marker>
            <c:symbol val="circle"/>
            <c:size val="5"/>
          </c:marker>
          <c:cat>
            <c:numRef>
              <c:f>CurvaMod!$B$6:$B$29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CurvaMod!$D$6:$D$29</c:f>
              <c:numCache>
                <c:formatCode>#,##0.0</c:formatCode>
                <c:ptCount val="24"/>
                <c:pt idx="0">
                  <c:v>5.0999999999999996</c:v>
                </c:pt>
                <c:pt idx="1">
                  <c:v>3.4000000000000004</c:v>
                </c:pt>
                <c:pt idx="2">
                  <c:v>1.7000000000000002</c:v>
                </c:pt>
                <c:pt idx="3">
                  <c:v>1.7000000000000002</c:v>
                </c:pt>
                <c:pt idx="4">
                  <c:v>5.0999999999999996</c:v>
                </c:pt>
                <c:pt idx="5">
                  <c:v>8.5</c:v>
                </c:pt>
                <c:pt idx="6">
                  <c:v>15.3</c:v>
                </c:pt>
                <c:pt idx="7">
                  <c:v>25.5</c:v>
                </c:pt>
                <c:pt idx="8">
                  <c:v>27.200000000000003</c:v>
                </c:pt>
                <c:pt idx="9">
                  <c:v>25.5</c:v>
                </c:pt>
                <c:pt idx="10">
                  <c:v>24.65</c:v>
                </c:pt>
                <c:pt idx="11">
                  <c:v>22.950000000000003</c:v>
                </c:pt>
                <c:pt idx="12">
                  <c:v>23.799999999999997</c:v>
                </c:pt>
                <c:pt idx="13">
                  <c:v>23.799999999999997</c:v>
                </c:pt>
                <c:pt idx="14">
                  <c:v>22.1</c:v>
                </c:pt>
                <c:pt idx="15">
                  <c:v>18.700000000000003</c:v>
                </c:pt>
                <c:pt idx="16">
                  <c:v>17</c:v>
                </c:pt>
                <c:pt idx="17">
                  <c:v>15.3</c:v>
                </c:pt>
                <c:pt idx="18">
                  <c:v>17</c:v>
                </c:pt>
                <c:pt idx="19">
                  <c:v>20.399999999999999</c:v>
                </c:pt>
                <c:pt idx="20">
                  <c:v>21.25</c:v>
                </c:pt>
                <c:pt idx="21">
                  <c:v>20.399999999999999</c:v>
                </c:pt>
                <c:pt idx="22">
                  <c:v>15.3</c:v>
                </c:pt>
                <c:pt idx="23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5136"/>
        <c:axId val="116636672"/>
      </c:lineChart>
      <c:dateAx>
        <c:axId val="11663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6636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663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M3/h</a:t>
                </a:r>
              </a:p>
            </c:rich>
          </c:tx>
          <c:layout>
            <c:manualLayout>
              <c:xMode val="edge"/>
              <c:yMode val="edge"/>
              <c:x val="2.2727272727273682E-2"/>
              <c:y val="0.42207792207792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6635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988" r="0.75000000000000988" t="1" header="0" footer="0"/>
    <c:pageSetup orientation="portrait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108856</xdr:colOff>
      <xdr:row>7</xdr:row>
      <xdr:rowOff>40820</xdr:rowOff>
    </xdr:from>
    <xdr:to>
      <xdr:col>22</xdr:col>
      <xdr:colOff>380999</xdr:colOff>
      <xdr:row>29</xdr:row>
      <xdr:rowOff>13608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12</xdr:row>
      <xdr:rowOff>10583</xdr:rowOff>
    </xdr:from>
    <xdr:to>
      <xdr:col>14</xdr:col>
      <xdr:colOff>165100</xdr:colOff>
      <xdr:row>27</xdr:row>
      <xdr:rowOff>86783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148167</xdr:colOff>
      <xdr:row>44</xdr:row>
      <xdr:rowOff>52917</xdr:rowOff>
    </xdr:from>
    <xdr:to>
      <xdr:col>12</xdr:col>
      <xdr:colOff>757767</xdr:colOff>
      <xdr:row>59</xdr:row>
      <xdr:rowOff>129117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243417</xdr:colOff>
      <xdr:row>51</xdr:row>
      <xdr:rowOff>31750</xdr:rowOff>
    </xdr:from>
    <xdr:to>
      <xdr:col>12</xdr:col>
      <xdr:colOff>465667</xdr:colOff>
      <xdr:row>51</xdr:row>
      <xdr:rowOff>31751</xdr:rowOff>
    </xdr:to>
    <xdr:cxnSp macro="">
      <xdr:nvCxnSpPr>
        <xdr:cNvPr id="6" name="5 Conector recto"/>
        <xdr:cNvCxnSpPr/>
      </xdr:nvCxnSpPr>
      <xdr:spPr>
        <a:xfrm>
          <a:off x="4053417" y="9958917"/>
          <a:ext cx="5556250" cy="1"/>
        </a:xfrm>
        <a:prstGeom prst="line">
          <a:avLst/>
        </a:prstGeom>
        <a:ln w="476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243439</xdr:colOff>
      <xdr:row>47</xdr:row>
      <xdr:rowOff>52935</xdr:rowOff>
    </xdr:from>
    <xdr:ext cx="784958" cy="436786"/>
    <xdr:sp macro="" textlink="">
      <xdr:nvSpPr>
        <xdr:cNvPr id="10" name="9 CuadroTexto"/>
        <xdr:cNvSpPr txBox="1"/>
      </xdr:nvSpPr>
      <xdr:spPr>
        <a:xfrm>
          <a:off x="4053439" y="9218102"/>
          <a:ext cx="784958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CL" sz="1100"/>
            <a:t>Consumo</a:t>
          </a:r>
        </a:p>
        <a:p>
          <a:r>
            <a:rPr lang="es-CL" sz="1100"/>
            <a:t>Medio/día</a:t>
          </a:r>
        </a:p>
      </xdr:txBody>
    </xdr:sp>
    <xdr:clientData/>
  </xdr:oneCellAnchor>
  <xdr:twoCellAnchor>
    <xdr:from>
      <xdr:col>7</xdr:col>
      <xdr:colOff>687917</xdr:colOff>
      <xdr:row>47</xdr:row>
      <xdr:rowOff>137586</xdr:rowOff>
    </xdr:from>
    <xdr:to>
      <xdr:col>7</xdr:col>
      <xdr:colOff>698501</xdr:colOff>
      <xdr:row>51</xdr:row>
      <xdr:rowOff>10586</xdr:rowOff>
    </xdr:to>
    <xdr:cxnSp macro="">
      <xdr:nvCxnSpPr>
        <xdr:cNvPr id="12" name="11 Conector recto de flecha"/>
        <xdr:cNvCxnSpPr/>
      </xdr:nvCxnSpPr>
      <xdr:spPr>
        <a:xfrm flipH="1">
          <a:off x="6021917" y="9302753"/>
          <a:ext cx="10584" cy="635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158750</xdr:colOff>
      <xdr:row>51</xdr:row>
      <xdr:rowOff>42333</xdr:rowOff>
    </xdr:from>
    <xdr:to>
      <xdr:col>6</xdr:col>
      <xdr:colOff>158750</xdr:colOff>
      <xdr:row>56</xdr:row>
      <xdr:rowOff>0</xdr:rowOff>
    </xdr:to>
    <xdr:cxnSp macro="">
      <xdr:nvCxnSpPr>
        <xdr:cNvPr id="15" name="14 Conector recto de flecha"/>
        <xdr:cNvCxnSpPr/>
      </xdr:nvCxnSpPr>
      <xdr:spPr>
        <a:xfrm>
          <a:off x="4730750" y="9969500"/>
          <a:ext cx="0" cy="91016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338667</xdr:colOff>
      <xdr:row>49</xdr:row>
      <xdr:rowOff>108721</xdr:rowOff>
    </xdr:from>
    <xdr:to>
      <xdr:col>5</xdr:col>
      <xdr:colOff>635918</xdr:colOff>
      <xdr:row>51</xdr:row>
      <xdr:rowOff>42333</xdr:rowOff>
    </xdr:to>
    <xdr:cxnSp macro="">
      <xdr:nvCxnSpPr>
        <xdr:cNvPr id="11" name="10 Conector recto"/>
        <xdr:cNvCxnSpPr>
          <a:stCxn id="10" idx="2"/>
        </xdr:cNvCxnSpPr>
      </xdr:nvCxnSpPr>
      <xdr:spPr>
        <a:xfrm flipH="1">
          <a:off x="4148667" y="9654888"/>
          <a:ext cx="297251" cy="3146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201083</xdr:colOff>
      <xdr:row>53</xdr:row>
      <xdr:rowOff>84666</xdr:rowOff>
    </xdr:from>
    <xdr:to>
      <xdr:col>7</xdr:col>
      <xdr:colOff>84667</xdr:colOff>
      <xdr:row>55</xdr:row>
      <xdr:rowOff>21166</xdr:rowOff>
    </xdr:to>
    <xdr:cxnSp macro="">
      <xdr:nvCxnSpPr>
        <xdr:cNvPr id="14" name="13 Conector recto de flecha"/>
        <xdr:cNvCxnSpPr/>
      </xdr:nvCxnSpPr>
      <xdr:spPr>
        <a:xfrm flipH="1" flipV="1">
          <a:off x="4773083" y="10392833"/>
          <a:ext cx="645584" cy="317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0.65499</cdr:x>
      <cdr:y>0.20202</cdr:y>
    </cdr:from>
    <cdr:to>
      <cdr:x>0.76306</cdr:x>
      <cdr:y>0.35091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4392083" y="592667"/>
          <a:ext cx="724686" cy="4367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Consumo</a:t>
          </a:r>
        </a:p>
        <a:p xmlns:a="http://schemas.openxmlformats.org/drawingml/2006/main">
          <a:r>
            <a:rPr lang="es-CL" sz="1100"/>
            <a:t>horario</a:t>
          </a:r>
        </a:p>
      </cdr:txBody>
    </cdr:sp>
  </cdr:relSizeAnchor>
  <cdr:relSizeAnchor xmlns:cdr="http://schemas.openxmlformats.org/drawingml/2006/chartDrawing">
    <cdr:from>
      <cdr:x>0.33301</cdr:x>
      <cdr:y>0.58441</cdr:y>
    </cdr:from>
    <cdr:to>
      <cdr:x>0.46366</cdr:x>
      <cdr:y>0.73331</cdr:y>
    </cdr:to>
    <cdr:sp macro="" textlink="">
      <cdr:nvSpPr>
        <cdr:cNvPr id="3" name="9 CuadroTexto"/>
        <cdr:cNvSpPr txBox="1"/>
      </cdr:nvSpPr>
      <cdr:spPr>
        <a:xfrm xmlns:a="http://schemas.openxmlformats.org/drawingml/2006/main">
          <a:off x="2233052" y="1714498"/>
          <a:ext cx="876086" cy="4367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Area de</a:t>
          </a:r>
        </a:p>
        <a:p xmlns:a="http://schemas.openxmlformats.org/drawingml/2006/main">
          <a:r>
            <a:rPr lang="es-CL" sz="1100"/>
            <a:t>Reserva</a:t>
          </a:r>
          <a:r>
            <a:rPr lang="es-CL" sz="1100" baseline="0"/>
            <a:t> Est.</a:t>
          </a:r>
          <a:endParaRPr lang="es-CL" sz="1100"/>
        </a:p>
      </cdr:txBody>
    </cdr:sp>
  </cdr:relSizeAnchor>
  <cdr:relSizeAnchor xmlns:cdr="http://schemas.openxmlformats.org/drawingml/2006/chartDrawing">
    <cdr:from>
      <cdr:x>0.59817</cdr:x>
      <cdr:y>0.27417</cdr:y>
    </cdr:from>
    <cdr:to>
      <cdr:x>0.65341</cdr:x>
      <cdr:y>0.29582</cdr:y>
    </cdr:to>
    <cdr:sp macro="" textlink="">
      <cdr:nvSpPr>
        <cdr:cNvPr id="9" name="8 Conector recto"/>
        <cdr:cNvSpPr/>
      </cdr:nvSpPr>
      <cdr:spPr>
        <a:xfrm xmlns:a="http://schemas.openxmlformats.org/drawingml/2006/main" flipH="1">
          <a:off x="4011083" y="804333"/>
          <a:ext cx="370417" cy="63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0.36458</cdr:x>
      <cdr:y>0.31746</cdr:y>
    </cdr:from>
    <cdr:to>
      <cdr:x>0.42298</cdr:x>
      <cdr:y>0.58802</cdr:y>
    </cdr:to>
    <cdr:sp macro="" textlink="">
      <cdr:nvSpPr>
        <cdr:cNvPr id="11" name="10 Conector recto de flecha"/>
        <cdr:cNvSpPr/>
      </cdr:nvSpPr>
      <cdr:spPr>
        <a:xfrm xmlns:a="http://schemas.openxmlformats.org/drawingml/2006/main" flipV="1">
          <a:off x="2444750" y="931333"/>
          <a:ext cx="391583" cy="793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andaAPProyec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a hospit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tabSelected="1" zoomScale="60" zoomScaleNormal="60" workbookViewId="0">
      <selection activeCell="F31" sqref="F31"/>
    </sheetView>
  </sheetViews>
  <sheetFormatPr baseColWidth="10" defaultRowHeight="15" x14ac:dyDescent="0.25"/>
  <cols>
    <col min="7" max="7" width="12.42578125" customWidth="1"/>
    <col min="12" max="12" width="14.28515625" bestFit="1" customWidth="1"/>
    <col min="22" max="22" width="13.140625" bestFit="1" customWidth="1"/>
  </cols>
  <sheetData>
    <row r="1" spans="1:25" ht="21" customHeight="1" x14ac:dyDescent="0.3">
      <c r="A1" s="3"/>
      <c r="B1" s="19" t="s">
        <v>12</v>
      </c>
      <c r="C1" s="20" t="s">
        <v>18</v>
      </c>
      <c r="D1" s="45">
        <f>R5</f>
        <v>1049.7599999999998</v>
      </c>
      <c r="E1" s="3" t="s">
        <v>8</v>
      </c>
      <c r="F1" s="3"/>
      <c r="G1" s="3"/>
      <c r="H1" s="3"/>
      <c r="I1" s="3"/>
      <c r="J1" s="3"/>
      <c r="K1" s="3"/>
      <c r="L1">
        <f>24/12</f>
        <v>2</v>
      </c>
      <c r="M1" s="3"/>
      <c r="N1" s="3"/>
      <c r="O1" s="3"/>
      <c r="P1" s="3"/>
      <c r="Q1" s="3"/>
      <c r="R1" s="22" t="s">
        <v>31</v>
      </c>
      <c r="S1" s="3"/>
      <c r="T1" s="22"/>
      <c r="U1" s="3"/>
      <c r="V1" s="3"/>
    </row>
    <row r="2" spans="1:25" ht="21" customHeight="1" x14ac:dyDescent="0.25">
      <c r="A2" s="3"/>
      <c r="B2" s="3"/>
      <c r="C2" s="3"/>
      <c r="D2" s="23" t="s">
        <v>8</v>
      </c>
      <c r="E2" s="23" t="s">
        <v>7</v>
      </c>
      <c r="F2" s="3"/>
      <c r="G2" t="s">
        <v>26</v>
      </c>
      <c r="H2" s="3"/>
      <c r="I2" s="3" t="s">
        <v>19</v>
      </c>
      <c r="J2" s="3"/>
      <c r="K2" s="3"/>
      <c r="L2" s="3" t="s">
        <v>20</v>
      </c>
      <c r="M2" s="3"/>
      <c r="N2" s="3"/>
      <c r="O2" s="3"/>
      <c r="P2" s="3"/>
      <c r="Q2" s="3" t="s">
        <v>28</v>
      </c>
      <c r="R2" s="21">
        <v>750</v>
      </c>
      <c r="S2" s="3" t="s">
        <v>33</v>
      </c>
      <c r="T2" s="3"/>
      <c r="U2" s="14" t="s">
        <v>44</v>
      </c>
      <c r="V2" s="3"/>
    </row>
    <row r="3" spans="1:25" ht="21" customHeight="1" x14ac:dyDescent="0.3">
      <c r="A3" s="3"/>
      <c r="B3" s="24" t="s">
        <v>11</v>
      </c>
      <c r="C3" s="20" t="s">
        <v>2</v>
      </c>
      <c r="D3" s="40">
        <f>D1*1000/24/3600</f>
        <v>12.149999999999999</v>
      </c>
      <c r="E3" s="44">
        <v>24.5</v>
      </c>
      <c r="F3" s="3" t="s">
        <v>2</v>
      </c>
      <c r="G3" s="43">
        <f>E3*60</f>
        <v>1470</v>
      </c>
      <c r="H3" s="8"/>
      <c r="I3" s="8">
        <f>E3/D3</f>
        <v>2.0164609053497946</v>
      </c>
      <c r="J3" s="3"/>
      <c r="K3" s="3"/>
      <c r="L3" s="8">
        <f>D3*L1</f>
        <v>24.299999999999997</v>
      </c>
      <c r="M3" s="3" t="s">
        <v>2</v>
      </c>
      <c r="N3" s="3"/>
      <c r="O3" s="3"/>
      <c r="P3" s="25" t="s">
        <v>27</v>
      </c>
      <c r="Q3" s="3">
        <v>1.6199999999999999E-2</v>
      </c>
      <c r="R3" s="26">
        <f>Q3*R2</f>
        <v>12.149999999999999</v>
      </c>
      <c r="S3" s="7" t="s">
        <v>29</v>
      </c>
      <c r="T3" s="26"/>
      <c r="U3" s="14" t="s">
        <v>46</v>
      </c>
      <c r="V3" s="3"/>
    </row>
    <row r="4" spans="1:25" ht="21" customHeight="1" x14ac:dyDescent="0.3">
      <c r="A4" s="3"/>
      <c r="B4" s="24" t="s">
        <v>11</v>
      </c>
      <c r="C4" s="20" t="s">
        <v>1</v>
      </c>
      <c r="D4" s="41">
        <f>D1/24</f>
        <v>43.739999999999988</v>
      </c>
      <c r="E4" s="39">
        <f>E3*3.6</f>
        <v>88.2</v>
      </c>
      <c r="F4" s="3" t="s">
        <v>1</v>
      </c>
      <c r="H4" s="8"/>
      <c r="I4" s="3"/>
      <c r="J4" s="22">
        <f>4*8*3.4*2</f>
        <v>217.6</v>
      </c>
      <c r="K4" s="3" t="s">
        <v>0</v>
      </c>
      <c r="L4" s="8">
        <f>L3/1000*3600</f>
        <v>87.47999999999999</v>
      </c>
      <c r="M4" s="3" t="s">
        <v>1</v>
      </c>
      <c r="N4" s="3"/>
      <c r="O4" s="3"/>
      <c r="P4" s="3"/>
      <c r="Q4" s="3"/>
      <c r="R4" s="26">
        <f>R3*60*60/1000</f>
        <v>43.739999999999995</v>
      </c>
      <c r="S4" s="7" t="s">
        <v>30</v>
      </c>
      <c r="T4" s="26"/>
      <c r="U4" s="3"/>
      <c r="V4" s="3"/>
    </row>
    <row r="5" spans="1:25" ht="2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2">
        <f>R4*24</f>
        <v>1049.7599999999998</v>
      </c>
      <c r="S5" s="7" t="s">
        <v>32</v>
      </c>
      <c r="T5" s="42"/>
      <c r="U5" s="14" t="s">
        <v>45</v>
      </c>
      <c r="V5" s="3"/>
    </row>
    <row r="6" spans="1:25" ht="30" x14ac:dyDescent="0.25">
      <c r="A6" s="3"/>
      <c r="B6" s="18"/>
      <c r="C6" s="18" t="s">
        <v>5</v>
      </c>
      <c r="D6" s="18" t="s">
        <v>4</v>
      </c>
      <c r="E6" s="27" t="s">
        <v>9</v>
      </c>
      <c r="F6" s="18" t="s">
        <v>3</v>
      </c>
      <c r="G6" s="27" t="s">
        <v>10</v>
      </c>
      <c r="H6" s="18" t="s">
        <v>16</v>
      </c>
      <c r="I6" s="27" t="s">
        <v>17</v>
      </c>
      <c r="J6" s="27" t="s">
        <v>41</v>
      </c>
      <c r="K6" s="3"/>
      <c r="L6" s="3"/>
      <c r="M6" s="3"/>
      <c r="N6" s="3"/>
      <c r="O6" s="3"/>
      <c r="P6" s="3"/>
      <c r="Q6" s="3"/>
      <c r="R6" s="3"/>
      <c r="S6" s="3"/>
      <c r="T6" s="3"/>
      <c r="U6" s="14" t="s">
        <v>46</v>
      </c>
      <c r="V6" s="3"/>
      <c r="W6" s="11"/>
    </row>
    <row r="7" spans="1:25" x14ac:dyDescent="0.25">
      <c r="A7" s="3"/>
      <c r="B7" s="18" t="s">
        <v>6</v>
      </c>
      <c r="C7" s="28" t="s">
        <v>15</v>
      </c>
      <c r="D7" s="28" t="s">
        <v>14</v>
      </c>
      <c r="E7" s="28" t="s">
        <v>14</v>
      </c>
      <c r="F7" s="18" t="s">
        <v>13</v>
      </c>
      <c r="G7" s="18" t="s">
        <v>0</v>
      </c>
      <c r="H7" s="28" t="s">
        <v>0</v>
      </c>
      <c r="I7" s="10">
        <v>140</v>
      </c>
      <c r="J7" s="47">
        <f>I7*3.25/$J$4</f>
        <v>2.0909926470588234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5" ht="18.75" x14ac:dyDescent="0.3">
      <c r="A8" s="3"/>
      <c r="B8" s="18">
        <v>0</v>
      </c>
      <c r="C8" s="17">
        <v>0.3</v>
      </c>
      <c r="D8" s="29">
        <f>C8*$D$4</f>
        <v>13.121999999999996</v>
      </c>
      <c r="E8" s="30">
        <f>D8</f>
        <v>13.121999999999996</v>
      </c>
      <c r="F8" s="31">
        <f t="shared" ref="F8:F31" si="0">$E$4</f>
        <v>88.2</v>
      </c>
      <c r="G8" s="32">
        <f>F8</f>
        <v>88.2</v>
      </c>
      <c r="H8" s="6">
        <f t="shared" ref="H8:H31" si="1">G8-E8</f>
        <v>75.078000000000003</v>
      </c>
      <c r="I8" s="12">
        <f>I7+F8-D8</f>
        <v>215.078</v>
      </c>
      <c r="J8" s="47">
        <f t="shared" ref="J8:J31" si="2">I8*3.25/$J$4</f>
        <v>3.2123322610294118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5" ht="18.75" x14ac:dyDescent="0.3">
      <c r="A9" s="3"/>
      <c r="B9" s="18">
        <v>1</v>
      </c>
      <c r="C9" s="17">
        <v>0.2</v>
      </c>
      <c r="D9" s="29">
        <f>C9*$D$4</f>
        <v>8.7479999999999976</v>
      </c>
      <c r="E9" s="30">
        <f t="shared" ref="E9:E31" si="3">E8+D9</f>
        <v>21.869999999999994</v>
      </c>
      <c r="F9" s="31"/>
      <c r="G9" s="32">
        <f>G8+F9</f>
        <v>88.2</v>
      </c>
      <c r="H9" s="6">
        <f t="shared" si="1"/>
        <v>66.330000000000013</v>
      </c>
      <c r="I9" s="12">
        <f>I8+F9-D9</f>
        <v>206.33</v>
      </c>
      <c r="J9" s="47">
        <f t="shared" si="2"/>
        <v>3.0816750919117646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5" ht="18.75" x14ac:dyDescent="0.3">
      <c r="A10" s="3"/>
      <c r="B10" s="18">
        <v>2</v>
      </c>
      <c r="C10" s="17">
        <v>0.1</v>
      </c>
      <c r="D10" s="29">
        <f>C10*$D$4</f>
        <v>4.3739999999999988</v>
      </c>
      <c r="E10" s="30">
        <f t="shared" si="3"/>
        <v>26.243999999999993</v>
      </c>
      <c r="F10" s="31"/>
      <c r="G10" s="32">
        <f>G9+F10</f>
        <v>88.2</v>
      </c>
      <c r="H10" s="6">
        <f t="shared" si="1"/>
        <v>61.95600000000001</v>
      </c>
      <c r="I10" s="12">
        <f>I9+F10-D10</f>
        <v>201.95600000000002</v>
      </c>
      <c r="J10" s="47">
        <f t="shared" si="2"/>
        <v>3.0163465073529419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5" ht="18.75" x14ac:dyDescent="0.3">
      <c r="A11" s="3"/>
      <c r="B11" s="18">
        <v>3</v>
      </c>
      <c r="C11" s="17">
        <v>0.1</v>
      </c>
      <c r="D11" s="29">
        <f>C11*$D$4</f>
        <v>4.3739999999999988</v>
      </c>
      <c r="E11" s="30">
        <f t="shared" si="3"/>
        <v>30.617999999999991</v>
      </c>
      <c r="F11" s="31"/>
      <c r="G11" s="32">
        <f t="shared" ref="G11:G26" si="4">G10+F11</f>
        <v>88.2</v>
      </c>
      <c r="H11" s="6">
        <f t="shared" si="1"/>
        <v>57.582000000000008</v>
      </c>
      <c r="I11" s="12">
        <f t="shared" ref="I11:I26" si="5">I10+F11-D11</f>
        <v>197.58200000000002</v>
      </c>
      <c r="J11" s="47">
        <f t="shared" si="2"/>
        <v>2.9510179227941182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5" ht="18.75" x14ac:dyDescent="0.3">
      <c r="A12" s="3"/>
      <c r="B12" s="18">
        <v>4</v>
      </c>
      <c r="C12" s="17">
        <v>0.3</v>
      </c>
      <c r="D12" s="29">
        <f t="shared" ref="D12:D31" si="6">C12*$D$4</f>
        <v>13.121999999999996</v>
      </c>
      <c r="E12" s="30">
        <f t="shared" si="3"/>
        <v>43.739999999999988</v>
      </c>
      <c r="F12" s="31"/>
      <c r="G12" s="32">
        <f t="shared" si="4"/>
        <v>88.2</v>
      </c>
      <c r="H12" s="6">
        <f t="shared" si="1"/>
        <v>44.460000000000015</v>
      </c>
      <c r="I12" s="12">
        <f t="shared" si="5"/>
        <v>184.46000000000004</v>
      </c>
      <c r="J12" s="47">
        <f t="shared" si="2"/>
        <v>2.7550321691176478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5" ht="18.75" x14ac:dyDescent="0.3">
      <c r="A13" s="3"/>
      <c r="B13" s="18">
        <v>5</v>
      </c>
      <c r="C13" s="17">
        <v>0.5</v>
      </c>
      <c r="D13" s="29">
        <f t="shared" si="6"/>
        <v>21.869999999999994</v>
      </c>
      <c r="E13" s="30">
        <f t="shared" si="3"/>
        <v>65.609999999999985</v>
      </c>
      <c r="F13" s="31"/>
      <c r="G13" s="32">
        <f t="shared" si="4"/>
        <v>88.2</v>
      </c>
      <c r="H13" s="6">
        <f t="shared" si="1"/>
        <v>22.590000000000018</v>
      </c>
      <c r="I13" s="12">
        <f t="shared" si="5"/>
        <v>162.59000000000003</v>
      </c>
      <c r="J13" s="47">
        <f t="shared" si="2"/>
        <v>2.4283892463235301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Y13">
        <f>170*0.75</f>
        <v>127.5</v>
      </c>
    </row>
    <row r="14" spans="1:25" ht="18.75" x14ac:dyDescent="0.3">
      <c r="A14" s="3"/>
      <c r="B14" s="18">
        <v>6</v>
      </c>
      <c r="C14" s="17">
        <v>0.9</v>
      </c>
      <c r="D14" s="29">
        <f t="shared" si="6"/>
        <v>39.365999999999993</v>
      </c>
      <c r="E14" s="30">
        <f t="shared" si="3"/>
        <v>104.97599999999997</v>
      </c>
      <c r="F14" s="31">
        <f t="shared" si="0"/>
        <v>88.2</v>
      </c>
      <c r="G14" s="32">
        <f t="shared" si="4"/>
        <v>176.4</v>
      </c>
      <c r="H14" s="6">
        <f t="shared" si="1"/>
        <v>71.424000000000035</v>
      </c>
      <c r="I14" s="12">
        <f t="shared" si="5"/>
        <v>211.42400000000004</v>
      </c>
      <c r="J14" s="47">
        <f t="shared" si="2"/>
        <v>3.1577573529411773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5" ht="18.75" x14ac:dyDescent="0.3">
      <c r="A15" s="3"/>
      <c r="B15" s="18">
        <v>7</v>
      </c>
      <c r="C15" s="17">
        <v>1.5</v>
      </c>
      <c r="D15" s="29">
        <f t="shared" si="6"/>
        <v>65.609999999999985</v>
      </c>
      <c r="E15" s="30">
        <f t="shared" si="3"/>
        <v>170.58599999999996</v>
      </c>
      <c r="F15" s="31">
        <f t="shared" si="0"/>
        <v>88.2</v>
      </c>
      <c r="G15" s="32">
        <f>G14+F15</f>
        <v>264.60000000000002</v>
      </c>
      <c r="H15" s="6">
        <f t="shared" si="1"/>
        <v>94.014000000000067</v>
      </c>
      <c r="I15" s="12">
        <f>I14+F15-D15</f>
        <v>234.01400000000004</v>
      </c>
      <c r="J15" s="47">
        <f t="shared" si="2"/>
        <v>3.4951539522058832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5" ht="18.75" x14ac:dyDescent="0.3">
      <c r="A16" s="3">
        <f>D16/3.6</f>
        <v>18.224999999999994</v>
      </c>
      <c r="B16" s="18">
        <v>8</v>
      </c>
      <c r="C16" s="17">
        <v>1.5</v>
      </c>
      <c r="D16" s="29">
        <f t="shared" si="6"/>
        <v>65.609999999999985</v>
      </c>
      <c r="E16" s="30">
        <f t="shared" si="3"/>
        <v>236.19599999999994</v>
      </c>
      <c r="F16" s="31"/>
      <c r="G16" s="32">
        <f>G15+F16</f>
        <v>264.60000000000002</v>
      </c>
      <c r="H16" s="6">
        <f t="shared" si="1"/>
        <v>28.404000000000082</v>
      </c>
      <c r="I16" s="12">
        <f>I15+F16-D16</f>
        <v>168.40400000000005</v>
      </c>
      <c r="J16" s="47">
        <f t="shared" si="2"/>
        <v>2.5152251838235307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8.75" x14ac:dyDescent="0.3">
      <c r="A17" s="3"/>
      <c r="B17" s="18">
        <v>9</v>
      </c>
      <c r="C17" s="17">
        <v>1.5</v>
      </c>
      <c r="D17" s="29">
        <f t="shared" si="6"/>
        <v>65.609999999999985</v>
      </c>
      <c r="E17" s="30">
        <f t="shared" si="3"/>
        <v>301.80599999999993</v>
      </c>
      <c r="F17" s="31"/>
      <c r="G17" s="32">
        <f>G16+F17</f>
        <v>264.60000000000002</v>
      </c>
      <c r="H17" s="6">
        <f t="shared" si="1"/>
        <v>-37.205999999999904</v>
      </c>
      <c r="I17" s="12">
        <f>I16+F17-D17</f>
        <v>102.79400000000007</v>
      </c>
      <c r="J17" s="47">
        <f t="shared" si="2"/>
        <v>1.5352964154411775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8.75" x14ac:dyDescent="0.3">
      <c r="A18" s="3"/>
      <c r="B18" s="18">
        <v>10</v>
      </c>
      <c r="C18" s="17">
        <v>1.45</v>
      </c>
      <c r="D18" s="29">
        <f t="shared" si="6"/>
        <v>63.422999999999981</v>
      </c>
      <c r="E18" s="30">
        <f t="shared" si="3"/>
        <v>365.22899999999993</v>
      </c>
      <c r="F18" s="31">
        <f t="shared" si="0"/>
        <v>88.2</v>
      </c>
      <c r="G18" s="32">
        <f t="shared" si="4"/>
        <v>352.8</v>
      </c>
      <c r="H18" s="6">
        <f t="shared" si="1"/>
        <v>-12.428999999999917</v>
      </c>
      <c r="I18" s="12">
        <f t="shared" si="5"/>
        <v>127.57100000000011</v>
      </c>
      <c r="J18" s="47">
        <f t="shared" si="2"/>
        <v>1.9053573069852958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8.75" x14ac:dyDescent="0.3">
      <c r="A19" s="3"/>
      <c r="B19" s="18">
        <v>11</v>
      </c>
      <c r="C19" s="17">
        <v>1.35</v>
      </c>
      <c r="D19" s="29">
        <f t="shared" si="6"/>
        <v>59.048999999999985</v>
      </c>
      <c r="E19" s="30">
        <f t="shared" si="3"/>
        <v>424.27799999999991</v>
      </c>
      <c r="F19" s="31">
        <f t="shared" si="0"/>
        <v>88.2</v>
      </c>
      <c r="G19" s="32">
        <f t="shared" si="4"/>
        <v>441</v>
      </c>
      <c r="H19" s="6">
        <f t="shared" si="1"/>
        <v>16.722000000000094</v>
      </c>
      <c r="I19" s="12">
        <f t="shared" si="5"/>
        <v>156.72200000000015</v>
      </c>
      <c r="J19" s="47">
        <f t="shared" si="2"/>
        <v>2.3407467830882376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.75" x14ac:dyDescent="0.3">
      <c r="A20" s="3"/>
      <c r="B20" s="18">
        <v>12</v>
      </c>
      <c r="C20" s="17">
        <v>1.4</v>
      </c>
      <c r="D20" s="29">
        <f t="shared" si="6"/>
        <v>61.235999999999976</v>
      </c>
      <c r="E20" s="30">
        <f t="shared" si="3"/>
        <v>485.5139999999999</v>
      </c>
      <c r="F20" s="31">
        <f t="shared" si="0"/>
        <v>88.2</v>
      </c>
      <c r="G20" s="32">
        <f t="shared" si="4"/>
        <v>529.20000000000005</v>
      </c>
      <c r="H20" s="6">
        <f t="shared" si="1"/>
        <v>43.686000000000149</v>
      </c>
      <c r="I20" s="12">
        <f t="shared" si="5"/>
        <v>183.68600000000015</v>
      </c>
      <c r="J20" s="47">
        <f t="shared" si="2"/>
        <v>2.7434719669117671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8.75" x14ac:dyDescent="0.3">
      <c r="A21" s="3"/>
      <c r="B21" s="18">
        <v>13</v>
      </c>
      <c r="C21" s="17">
        <v>1.4</v>
      </c>
      <c r="D21" s="29">
        <f t="shared" si="6"/>
        <v>61.235999999999976</v>
      </c>
      <c r="E21" s="30">
        <f t="shared" si="3"/>
        <v>546.74999999999989</v>
      </c>
      <c r="F21" s="31">
        <f t="shared" si="0"/>
        <v>88.2</v>
      </c>
      <c r="G21" s="32">
        <f t="shared" si="4"/>
        <v>617.40000000000009</v>
      </c>
      <c r="H21" s="6">
        <f t="shared" si="1"/>
        <v>70.650000000000205</v>
      </c>
      <c r="I21" s="12">
        <f t="shared" si="5"/>
        <v>210.65000000000015</v>
      </c>
      <c r="J21" s="47">
        <f t="shared" si="2"/>
        <v>3.1461971507352966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8.75" x14ac:dyDescent="0.3">
      <c r="A22" s="3"/>
      <c r="B22" s="18">
        <v>14</v>
      </c>
      <c r="C22" s="17">
        <v>1.3</v>
      </c>
      <c r="D22" s="29">
        <f t="shared" si="6"/>
        <v>56.861999999999988</v>
      </c>
      <c r="E22" s="30">
        <f t="shared" si="3"/>
        <v>603.61199999999985</v>
      </c>
      <c r="F22" s="31"/>
      <c r="G22" s="32">
        <f>G21+F22</f>
        <v>617.40000000000009</v>
      </c>
      <c r="H22" s="6">
        <f t="shared" si="1"/>
        <v>13.788000000000238</v>
      </c>
      <c r="I22" s="12">
        <f>I21+F22-D22</f>
        <v>153.78800000000015</v>
      </c>
      <c r="J22" s="47">
        <f t="shared" si="2"/>
        <v>2.2969255514705904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8.75" x14ac:dyDescent="0.3">
      <c r="A23" s="3"/>
      <c r="B23" s="18">
        <v>15</v>
      </c>
      <c r="C23" s="17">
        <v>1.1000000000000001</v>
      </c>
      <c r="D23" s="29">
        <f t="shared" si="6"/>
        <v>48.11399999999999</v>
      </c>
      <c r="E23" s="30">
        <f t="shared" si="3"/>
        <v>651.72599999999989</v>
      </c>
      <c r="F23" s="31">
        <f t="shared" si="0"/>
        <v>88.2</v>
      </c>
      <c r="G23" s="32">
        <f t="shared" si="4"/>
        <v>705.60000000000014</v>
      </c>
      <c r="H23" s="6">
        <f t="shared" si="1"/>
        <v>53.874000000000251</v>
      </c>
      <c r="I23" s="12">
        <f t="shared" si="5"/>
        <v>193.87400000000019</v>
      </c>
      <c r="J23" s="47">
        <f t="shared" si="2"/>
        <v>2.8956364889705912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8.75" x14ac:dyDescent="0.3">
      <c r="A24" s="3">
        <f>D24/3.6</f>
        <v>12.149999999999997</v>
      </c>
      <c r="B24" s="18">
        <v>16</v>
      </c>
      <c r="C24" s="17">
        <v>1</v>
      </c>
      <c r="D24" s="29">
        <f t="shared" si="6"/>
        <v>43.739999999999988</v>
      </c>
      <c r="E24" s="30">
        <f t="shared" si="3"/>
        <v>695.46599999999989</v>
      </c>
      <c r="F24" s="31">
        <f t="shared" si="0"/>
        <v>88.2</v>
      </c>
      <c r="G24" s="32">
        <f t="shared" si="4"/>
        <v>793.80000000000018</v>
      </c>
      <c r="H24" s="6">
        <f t="shared" si="1"/>
        <v>98.334000000000287</v>
      </c>
      <c r="I24" s="12">
        <f t="shared" si="5"/>
        <v>238.3340000000002</v>
      </c>
      <c r="J24" s="47">
        <f t="shared" si="2"/>
        <v>3.5596760110294152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8.75" x14ac:dyDescent="0.3">
      <c r="A25" s="3"/>
      <c r="B25" s="18">
        <v>17</v>
      </c>
      <c r="C25" s="17">
        <v>0.9</v>
      </c>
      <c r="D25" s="29">
        <f t="shared" si="6"/>
        <v>39.365999999999993</v>
      </c>
      <c r="E25" s="30">
        <f t="shared" si="3"/>
        <v>734.83199999999988</v>
      </c>
      <c r="F25" s="31"/>
      <c r="G25" s="32">
        <f t="shared" si="4"/>
        <v>793.80000000000018</v>
      </c>
      <c r="H25" s="6">
        <f t="shared" si="1"/>
        <v>58.968000000000302</v>
      </c>
      <c r="I25" s="12">
        <f t="shared" si="5"/>
        <v>198.96800000000022</v>
      </c>
      <c r="J25" s="47">
        <f t="shared" si="2"/>
        <v>2.9717187500000035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8.75" x14ac:dyDescent="0.3">
      <c r="A26" s="21" t="s">
        <v>39</v>
      </c>
      <c r="B26" s="18">
        <v>18</v>
      </c>
      <c r="C26" s="17">
        <v>1</v>
      </c>
      <c r="D26" s="29">
        <f t="shared" si="6"/>
        <v>43.739999999999988</v>
      </c>
      <c r="E26" s="30">
        <f t="shared" si="3"/>
        <v>778.57199999999989</v>
      </c>
      <c r="F26" s="31"/>
      <c r="G26" s="32">
        <f t="shared" si="4"/>
        <v>793.80000000000018</v>
      </c>
      <c r="H26" s="6">
        <f t="shared" si="1"/>
        <v>15.228000000000293</v>
      </c>
      <c r="I26" s="12">
        <f t="shared" si="5"/>
        <v>155.22800000000024</v>
      </c>
      <c r="J26" s="47">
        <f t="shared" si="2"/>
        <v>2.3184329044117682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8.75" x14ac:dyDescent="0.3">
      <c r="A27" s="21" t="s">
        <v>39</v>
      </c>
      <c r="B27" s="18">
        <v>19</v>
      </c>
      <c r="C27" s="17">
        <v>1.2</v>
      </c>
      <c r="D27" s="29">
        <f t="shared" si="6"/>
        <v>52.487999999999985</v>
      </c>
      <c r="E27" s="30">
        <f t="shared" si="3"/>
        <v>831.05999999999983</v>
      </c>
      <c r="F27" s="31">
        <f t="shared" si="0"/>
        <v>88.2</v>
      </c>
      <c r="G27" s="32">
        <f>G26+F27</f>
        <v>882.00000000000023</v>
      </c>
      <c r="H27" s="6">
        <f t="shared" si="1"/>
        <v>50.940000000000396</v>
      </c>
      <c r="I27" s="12">
        <f>I26+F27-D27</f>
        <v>190.94000000000023</v>
      </c>
      <c r="J27" s="47">
        <f t="shared" si="2"/>
        <v>2.8518152573529445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8.75" x14ac:dyDescent="0.3">
      <c r="A28" s="21" t="s">
        <v>39</v>
      </c>
      <c r="B28" s="18">
        <v>20</v>
      </c>
      <c r="C28" s="17">
        <v>1.25</v>
      </c>
      <c r="D28" s="29">
        <f t="shared" si="6"/>
        <v>54.674999999999983</v>
      </c>
      <c r="E28" s="30">
        <f t="shared" si="3"/>
        <v>885.73499999999979</v>
      </c>
      <c r="F28" s="31">
        <f t="shared" si="0"/>
        <v>88.2</v>
      </c>
      <c r="G28" s="32">
        <f>G27+F28</f>
        <v>970.20000000000027</v>
      </c>
      <c r="H28" s="6">
        <f t="shared" si="1"/>
        <v>84.465000000000487</v>
      </c>
      <c r="I28" s="12">
        <f>I27+F28-D28</f>
        <v>224.46500000000023</v>
      </c>
      <c r="J28" s="47">
        <f t="shared" si="2"/>
        <v>3.352533318014709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8.75" x14ac:dyDescent="0.3">
      <c r="A29" s="21" t="s">
        <v>39</v>
      </c>
      <c r="B29" s="18">
        <v>21</v>
      </c>
      <c r="C29" s="17">
        <v>1.2</v>
      </c>
      <c r="D29" s="29">
        <f t="shared" si="6"/>
        <v>52.487999999999985</v>
      </c>
      <c r="E29" s="30">
        <f t="shared" si="3"/>
        <v>938.22299999999973</v>
      </c>
      <c r="F29" s="31"/>
      <c r="G29" s="32">
        <f>G28+F29</f>
        <v>970.20000000000027</v>
      </c>
      <c r="H29" s="6">
        <f t="shared" si="1"/>
        <v>31.977000000000544</v>
      </c>
      <c r="I29" s="12">
        <f>I28+F29-D29</f>
        <v>171.97700000000026</v>
      </c>
      <c r="J29" s="47">
        <f t="shared" si="2"/>
        <v>2.5685903033088273</v>
      </c>
      <c r="K29" s="3"/>
      <c r="L29" s="3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8.75" x14ac:dyDescent="0.3">
      <c r="A30" s="21" t="s">
        <v>39</v>
      </c>
      <c r="B30" s="18">
        <v>22</v>
      </c>
      <c r="C30" s="17">
        <v>0.9</v>
      </c>
      <c r="D30" s="29">
        <f t="shared" si="6"/>
        <v>39.365999999999993</v>
      </c>
      <c r="E30" s="30">
        <f t="shared" si="3"/>
        <v>977.58899999999971</v>
      </c>
      <c r="F30" s="31"/>
      <c r="G30" s="32">
        <f>G29+F30</f>
        <v>970.20000000000027</v>
      </c>
      <c r="H30" s="6">
        <f t="shared" si="1"/>
        <v>-7.3889999999994416</v>
      </c>
      <c r="I30" s="12">
        <f>I29+F30-D30</f>
        <v>132.61100000000027</v>
      </c>
      <c r="J30" s="47">
        <f t="shared" si="2"/>
        <v>1.9806330422794161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8.75" x14ac:dyDescent="0.3">
      <c r="A31" s="21" t="s">
        <v>39</v>
      </c>
      <c r="B31" s="18">
        <v>23</v>
      </c>
      <c r="C31" s="17">
        <v>0.5</v>
      </c>
      <c r="D31" s="29">
        <f t="shared" si="6"/>
        <v>21.869999999999994</v>
      </c>
      <c r="E31" s="30">
        <f t="shared" si="3"/>
        <v>999.45899999999972</v>
      </c>
      <c r="F31" s="31">
        <f t="shared" si="0"/>
        <v>88.2</v>
      </c>
      <c r="G31" s="32">
        <f>G30+F31</f>
        <v>1058.4000000000003</v>
      </c>
      <c r="H31" s="6">
        <f t="shared" si="1"/>
        <v>58.941000000000599</v>
      </c>
      <c r="I31" s="12">
        <f>I30+F31-D31</f>
        <v>198.94100000000026</v>
      </c>
      <c r="J31" s="47">
        <f t="shared" si="2"/>
        <v>2.9713154871323568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20" t="s">
        <v>0</v>
      </c>
      <c r="B32" s="3"/>
      <c r="C32" s="3"/>
      <c r="D32" s="34">
        <f>SUM(D8:D31)</f>
        <v>999.45899999999972</v>
      </c>
      <c r="E32" s="34">
        <f>E31</f>
        <v>999.45899999999972</v>
      </c>
      <c r="F32" s="34">
        <f>SUM(F8:F31)</f>
        <v>1058.4000000000003</v>
      </c>
      <c r="G32" s="3"/>
      <c r="H32" s="48">
        <f>MAX(H8:H31)</f>
        <v>98.334000000000287</v>
      </c>
      <c r="I32" s="4">
        <f>MAX(I8:I31)</f>
        <v>238.3340000000002</v>
      </c>
      <c r="J32" s="4">
        <f>MAX(J8:J31)</f>
        <v>3.5596760110294152</v>
      </c>
      <c r="K32" s="4" t="s">
        <v>42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3"/>
      <c r="B33" s="3"/>
      <c r="C33" s="3"/>
      <c r="D33" s="4">
        <f>AVERAGE(D8:D31)</f>
        <v>41.644124999999988</v>
      </c>
      <c r="E33" s="4">
        <f>AVERAGE(E8:E31)</f>
        <v>455.53387499999985</v>
      </c>
      <c r="F33" s="3">
        <f>COUNT(F8:F31)</f>
        <v>12</v>
      </c>
      <c r="G33" s="3" t="s">
        <v>40</v>
      </c>
      <c r="H33" s="49">
        <f>MIN(H8:H32)</f>
        <v>-37.205999999999904</v>
      </c>
      <c r="I33" s="4">
        <f>MIN(I8:I32)</f>
        <v>102.79400000000007</v>
      </c>
      <c r="J33" s="4">
        <f>MIN(J8:J32)</f>
        <v>1.5352964154411775</v>
      </c>
      <c r="K33" s="3" t="s">
        <v>43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3"/>
      <c r="B34" s="3"/>
      <c r="C34" s="3"/>
      <c r="D34" s="4"/>
      <c r="E34" s="4"/>
      <c r="F34" s="26"/>
      <c r="G34" s="4"/>
      <c r="H34" s="49">
        <f>H32-H33</f>
        <v>135.54000000000019</v>
      </c>
      <c r="I34" s="4">
        <f>I32-I33</f>
        <v>135.54000000000013</v>
      </c>
      <c r="J34" s="4">
        <f>J32-J33</f>
        <v>2.024379595588238</v>
      </c>
      <c r="K34" s="4" t="s">
        <v>16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7.75" customHeight="1" x14ac:dyDescent="0.25">
      <c r="A35" s="3"/>
      <c r="B35" s="50"/>
      <c r="C35" s="50"/>
      <c r="D35" s="50"/>
      <c r="E35" s="50"/>
      <c r="F35" s="3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35.25" customHeight="1" x14ac:dyDescent="0.25">
      <c r="A36" s="3"/>
      <c r="B36" s="3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3"/>
      <c r="S36" s="3"/>
      <c r="T36" s="3"/>
      <c r="U36" s="3"/>
      <c r="V36" s="3"/>
    </row>
    <row r="37" spans="1:22" x14ac:dyDescent="0.25">
      <c r="A37" s="3"/>
      <c r="B37" s="2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</sheetData>
  <mergeCells count="2">
    <mergeCell ref="B35:C35"/>
    <mergeCell ref="D35:E35"/>
  </mergeCells>
  <pageMargins left="0.7" right="0.7" top="0.75" bottom="0.75" header="0.3" footer="0.3"/>
  <pageSetup paperSize="9" orientation="portrait" r:id="rId1"/>
  <ignoredErrors>
    <ignoredError sqref="F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showGridLines="0" zoomScale="75" zoomScaleNormal="75" zoomScaleSheetLayoutView="75" workbookViewId="0">
      <selection activeCell="H20" sqref="H20"/>
    </sheetView>
  </sheetViews>
  <sheetFormatPr baseColWidth="10" defaultRowHeight="12.75" x14ac:dyDescent="0.2"/>
  <cols>
    <col min="1" max="1" width="3.140625" style="54" customWidth="1"/>
    <col min="2" max="2" width="16.28515625" style="54" customWidth="1"/>
    <col min="3" max="3" width="14.28515625" style="70" customWidth="1"/>
    <col min="4" max="4" width="10.42578125" style="70" bestFit="1" customWidth="1"/>
    <col min="5" max="5" width="14.42578125" style="54" bestFit="1" customWidth="1"/>
    <col min="6" max="6" width="11.7109375" style="70" customWidth="1"/>
    <col min="7" max="7" width="11.42578125" style="54"/>
    <col min="8" max="8" width="14.28515625" style="70" bestFit="1" customWidth="1"/>
    <col min="9" max="9" width="12.28515625" style="138" customWidth="1"/>
    <col min="10" max="14" width="11.7109375" style="138" customWidth="1"/>
    <col min="15" max="15" width="11.7109375" style="54" customWidth="1"/>
    <col min="16" max="16" width="14.42578125" style="54" customWidth="1"/>
    <col min="17" max="17" width="11.5703125" style="54" bestFit="1" customWidth="1"/>
    <col min="18" max="18" width="9.7109375" style="54" customWidth="1"/>
    <col min="19" max="256" width="11.42578125" style="54"/>
    <col min="257" max="257" width="3.140625" style="54" customWidth="1"/>
    <col min="258" max="258" width="16.28515625" style="54" customWidth="1"/>
    <col min="259" max="259" width="14.28515625" style="54" customWidth="1"/>
    <col min="260" max="260" width="10.42578125" style="54" bestFit="1" customWidth="1"/>
    <col min="261" max="261" width="14.42578125" style="54" bestFit="1" customWidth="1"/>
    <col min="262" max="262" width="11.7109375" style="54" customWidth="1"/>
    <col min="263" max="263" width="11.42578125" style="54"/>
    <col min="264" max="264" width="14.28515625" style="54" bestFit="1" customWidth="1"/>
    <col min="265" max="265" width="12.28515625" style="54" customWidth="1"/>
    <col min="266" max="271" width="11.7109375" style="54" customWidth="1"/>
    <col min="272" max="272" width="14.42578125" style="54" customWidth="1"/>
    <col min="273" max="273" width="11.5703125" style="54" bestFit="1" customWidth="1"/>
    <col min="274" max="274" width="9.7109375" style="54" customWidth="1"/>
    <col min="275" max="512" width="11.42578125" style="54"/>
    <col min="513" max="513" width="3.140625" style="54" customWidth="1"/>
    <col min="514" max="514" width="16.28515625" style="54" customWidth="1"/>
    <col min="515" max="515" width="14.28515625" style="54" customWidth="1"/>
    <col min="516" max="516" width="10.42578125" style="54" bestFit="1" customWidth="1"/>
    <col min="517" max="517" width="14.42578125" style="54" bestFit="1" customWidth="1"/>
    <col min="518" max="518" width="11.7109375" style="54" customWidth="1"/>
    <col min="519" max="519" width="11.42578125" style="54"/>
    <col min="520" max="520" width="14.28515625" style="54" bestFit="1" customWidth="1"/>
    <col min="521" max="521" width="12.28515625" style="54" customWidth="1"/>
    <col min="522" max="527" width="11.7109375" style="54" customWidth="1"/>
    <col min="528" max="528" width="14.42578125" style="54" customWidth="1"/>
    <col min="529" max="529" width="11.5703125" style="54" bestFit="1" customWidth="1"/>
    <col min="530" max="530" width="9.7109375" style="54" customWidth="1"/>
    <col min="531" max="768" width="11.42578125" style="54"/>
    <col min="769" max="769" width="3.140625" style="54" customWidth="1"/>
    <col min="770" max="770" width="16.28515625" style="54" customWidth="1"/>
    <col min="771" max="771" width="14.28515625" style="54" customWidth="1"/>
    <col min="772" max="772" width="10.42578125" style="54" bestFit="1" customWidth="1"/>
    <col min="773" max="773" width="14.42578125" style="54" bestFit="1" customWidth="1"/>
    <col min="774" max="774" width="11.7109375" style="54" customWidth="1"/>
    <col min="775" max="775" width="11.42578125" style="54"/>
    <col min="776" max="776" width="14.28515625" style="54" bestFit="1" customWidth="1"/>
    <col min="777" max="777" width="12.28515625" style="54" customWidth="1"/>
    <col min="778" max="783" width="11.7109375" style="54" customWidth="1"/>
    <col min="784" max="784" width="14.42578125" style="54" customWidth="1"/>
    <col min="785" max="785" width="11.5703125" style="54" bestFit="1" customWidth="1"/>
    <col min="786" max="786" width="9.7109375" style="54" customWidth="1"/>
    <col min="787" max="1024" width="11.42578125" style="54"/>
    <col min="1025" max="1025" width="3.140625" style="54" customWidth="1"/>
    <col min="1026" max="1026" width="16.28515625" style="54" customWidth="1"/>
    <col min="1027" max="1027" width="14.28515625" style="54" customWidth="1"/>
    <col min="1028" max="1028" width="10.42578125" style="54" bestFit="1" customWidth="1"/>
    <col min="1029" max="1029" width="14.42578125" style="54" bestFit="1" customWidth="1"/>
    <col min="1030" max="1030" width="11.7109375" style="54" customWidth="1"/>
    <col min="1031" max="1031" width="11.42578125" style="54"/>
    <col min="1032" max="1032" width="14.28515625" style="54" bestFit="1" customWidth="1"/>
    <col min="1033" max="1033" width="12.28515625" style="54" customWidth="1"/>
    <col min="1034" max="1039" width="11.7109375" style="54" customWidth="1"/>
    <col min="1040" max="1040" width="14.42578125" style="54" customWidth="1"/>
    <col min="1041" max="1041" width="11.5703125" style="54" bestFit="1" customWidth="1"/>
    <col min="1042" max="1042" width="9.7109375" style="54" customWidth="1"/>
    <col min="1043" max="1280" width="11.42578125" style="54"/>
    <col min="1281" max="1281" width="3.140625" style="54" customWidth="1"/>
    <col min="1282" max="1282" width="16.28515625" style="54" customWidth="1"/>
    <col min="1283" max="1283" width="14.28515625" style="54" customWidth="1"/>
    <col min="1284" max="1284" width="10.42578125" style="54" bestFit="1" customWidth="1"/>
    <col min="1285" max="1285" width="14.42578125" style="54" bestFit="1" customWidth="1"/>
    <col min="1286" max="1286" width="11.7109375" style="54" customWidth="1"/>
    <col min="1287" max="1287" width="11.42578125" style="54"/>
    <col min="1288" max="1288" width="14.28515625" style="54" bestFit="1" customWidth="1"/>
    <col min="1289" max="1289" width="12.28515625" style="54" customWidth="1"/>
    <col min="1290" max="1295" width="11.7109375" style="54" customWidth="1"/>
    <col min="1296" max="1296" width="14.42578125" style="54" customWidth="1"/>
    <col min="1297" max="1297" width="11.5703125" style="54" bestFit="1" customWidth="1"/>
    <col min="1298" max="1298" width="9.7109375" style="54" customWidth="1"/>
    <col min="1299" max="1536" width="11.42578125" style="54"/>
    <col min="1537" max="1537" width="3.140625" style="54" customWidth="1"/>
    <col min="1538" max="1538" width="16.28515625" style="54" customWidth="1"/>
    <col min="1539" max="1539" width="14.28515625" style="54" customWidth="1"/>
    <col min="1540" max="1540" width="10.42578125" style="54" bestFit="1" customWidth="1"/>
    <col min="1541" max="1541" width="14.42578125" style="54" bestFit="1" customWidth="1"/>
    <col min="1542" max="1542" width="11.7109375" style="54" customWidth="1"/>
    <col min="1543" max="1543" width="11.42578125" style="54"/>
    <col min="1544" max="1544" width="14.28515625" style="54" bestFit="1" customWidth="1"/>
    <col min="1545" max="1545" width="12.28515625" style="54" customWidth="1"/>
    <col min="1546" max="1551" width="11.7109375" style="54" customWidth="1"/>
    <col min="1552" max="1552" width="14.42578125" style="54" customWidth="1"/>
    <col min="1553" max="1553" width="11.5703125" style="54" bestFit="1" customWidth="1"/>
    <col min="1554" max="1554" width="9.7109375" style="54" customWidth="1"/>
    <col min="1555" max="1792" width="11.42578125" style="54"/>
    <col min="1793" max="1793" width="3.140625" style="54" customWidth="1"/>
    <col min="1794" max="1794" width="16.28515625" style="54" customWidth="1"/>
    <col min="1795" max="1795" width="14.28515625" style="54" customWidth="1"/>
    <col min="1796" max="1796" width="10.42578125" style="54" bestFit="1" customWidth="1"/>
    <col min="1797" max="1797" width="14.42578125" style="54" bestFit="1" customWidth="1"/>
    <col min="1798" max="1798" width="11.7109375" style="54" customWidth="1"/>
    <col min="1799" max="1799" width="11.42578125" style="54"/>
    <col min="1800" max="1800" width="14.28515625" style="54" bestFit="1" customWidth="1"/>
    <col min="1801" max="1801" width="12.28515625" style="54" customWidth="1"/>
    <col min="1802" max="1807" width="11.7109375" style="54" customWidth="1"/>
    <col min="1808" max="1808" width="14.42578125" style="54" customWidth="1"/>
    <col min="1809" max="1809" width="11.5703125" style="54" bestFit="1" customWidth="1"/>
    <col min="1810" max="1810" width="9.7109375" style="54" customWidth="1"/>
    <col min="1811" max="2048" width="11.42578125" style="54"/>
    <col min="2049" max="2049" width="3.140625" style="54" customWidth="1"/>
    <col min="2050" max="2050" width="16.28515625" style="54" customWidth="1"/>
    <col min="2051" max="2051" width="14.28515625" style="54" customWidth="1"/>
    <col min="2052" max="2052" width="10.42578125" style="54" bestFit="1" customWidth="1"/>
    <col min="2053" max="2053" width="14.42578125" style="54" bestFit="1" customWidth="1"/>
    <col min="2054" max="2054" width="11.7109375" style="54" customWidth="1"/>
    <col min="2055" max="2055" width="11.42578125" style="54"/>
    <col min="2056" max="2056" width="14.28515625" style="54" bestFit="1" customWidth="1"/>
    <col min="2057" max="2057" width="12.28515625" style="54" customWidth="1"/>
    <col min="2058" max="2063" width="11.7109375" style="54" customWidth="1"/>
    <col min="2064" max="2064" width="14.42578125" style="54" customWidth="1"/>
    <col min="2065" max="2065" width="11.5703125" style="54" bestFit="1" customWidth="1"/>
    <col min="2066" max="2066" width="9.7109375" style="54" customWidth="1"/>
    <col min="2067" max="2304" width="11.42578125" style="54"/>
    <col min="2305" max="2305" width="3.140625" style="54" customWidth="1"/>
    <col min="2306" max="2306" width="16.28515625" style="54" customWidth="1"/>
    <col min="2307" max="2307" width="14.28515625" style="54" customWidth="1"/>
    <col min="2308" max="2308" width="10.42578125" style="54" bestFit="1" customWidth="1"/>
    <col min="2309" max="2309" width="14.42578125" style="54" bestFit="1" customWidth="1"/>
    <col min="2310" max="2310" width="11.7109375" style="54" customWidth="1"/>
    <col min="2311" max="2311" width="11.42578125" style="54"/>
    <col min="2312" max="2312" width="14.28515625" style="54" bestFit="1" customWidth="1"/>
    <col min="2313" max="2313" width="12.28515625" style="54" customWidth="1"/>
    <col min="2314" max="2319" width="11.7109375" style="54" customWidth="1"/>
    <col min="2320" max="2320" width="14.42578125" style="54" customWidth="1"/>
    <col min="2321" max="2321" width="11.5703125" style="54" bestFit="1" customWidth="1"/>
    <col min="2322" max="2322" width="9.7109375" style="54" customWidth="1"/>
    <col min="2323" max="2560" width="11.42578125" style="54"/>
    <col min="2561" max="2561" width="3.140625" style="54" customWidth="1"/>
    <col min="2562" max="2562" width="16.28515625" style="54" customWidth="1"/>
    <col min="2563" max="2563" width="14.28515625" style="54" customWidth="1"/>
    <col min="2564" max="2564" width="10.42578125" style="54" bestFit="1" customWidth="1"/>
    <col min="2565" max="2565" width="14.42578125" style="54" bestFit="1" customWidth="1"/>
    <col min="2566" max="2566" width="11.7109375" style="54" customWidth="1"/>
    <col min="2567" max="2567" width="11.42578125" style="54"/>
    <col min="2568" max="2568" width="14.28515625" style="54" bestFit="1" customWidth="1"/>
    <col min="2569" max="2569" width="12.28515625" style="54" customWidth="1"/>
    <col min="2570" max="2575" width="11.7109375" style="54" customWidth="1"/>
    <col min="2576" max="2576" width="14.42578125" style="54" customWidth="1"/>
    <col min="2577" max="2577" width="11.5703125" style="54" bestFit="1" customWidth="1"/>
    <col min="2578" max="2578" width="9.7109375" style="54" customWidth="1"/>
    <col min="2579" max="2816" width="11.42578125" style="54"/>
    <col min="2817" max="2817" width="3.140625" style="54" customWidth="1"/>
    <col min="2818" max="2818" width="16.28515625" style="54" customWidth="1"/>
    <col min="2819" max="2819" width="14.28515625" style="54" customWidth="1"/>
    <col min="2820" max="2820" width="10.42578125" style="54" bestFit="1" customWidth="1"/>
    <col min="2821" max="2821" width="14.42578125" style="54" bestFit="1" customWidth="1"/>
    <col min="2822" max="2822" width="11.7109375" style="54" customWidth="1"/>
    <col min="2823" max="2823" width="11.42578125" style="54"/>
    <col min="2824" max="2824" width="14.28515625" style="54" bestFit="1" customWidth="1"/>
    <col min="2825" max="2825" width="12.28515625" style="54" customWidth="1"/>
    <col min="2826" max="2831" width="11.7109375" style="54" customWidth="1"/>
    <col min="2832" max="2832" width="14.42578125" style="54" customWidth="1"/>
    <col min="2833" max="2833" width="11.5703125" style="54" bestFit="1" customWidth="1"/>
    <col min="2834" max="2834" width="9.7109375" style="54" customWidth="1"/>
    <col min="2835" max="3072" width="11.42578125" style="54"/>
    <col min="3073" max="3073" width="3.140625" style="54" customWidth="1"/>
    <col min="3074" max="3074" width="16.28515625" style="54" customWidth="1"/>
    <col min="3075" max="3075" width="14.28515625" style="54" customWidth="1"/>
    <col min="3076" max="3076" width="10.42578125" style="54" bestFit="1" customWidth="1"/>
    <col min="3077" max="3077" width="14.42578125" style="54" bestFit="1" customWidth="1"/>
    <col min="3078" max="3078" width="11.7109375" style="54" customWidth="1"/>
    <col min="3079" max="3079" width="11.42578125" style="54"/>
    <col min="3080" max="3080" width="14.28515625" style="54" bestFit="1" customWidth="1"/>
    <col min="3081" max="3081" width="12.28515625" style="54" customWidth="1"/>
    <col min="3082" max="3087" width="11.7109375" style="54" customWidth="1"/>
    <col min="3088" max="3088" width="14.42578125" style="54" customWidth="1"/>
    <col min="3089" max="3089" width="11.5703125" style="54" bestFit="1" customWidth="1"/>
    <col min="3090" max="3090" width="9.7109375" style="54" customWidth="1"/>
    <col min="3091" max="3328" width="11.42578125" style="54"/>
    <col min="3329" max="3329" width="3.140625" style="54" customWidth="1"/>
    <col min="3330" max="3330" width="16.28515625" style="54" customWidth="1"/>
    <col min="3331" max="3331" width="14.28515625" style="54" customWidth="1"/>
    <col min="3332" max="3332" width="10.42578125" style="54" bestFit="1" customWidth="1"/>
    <col min="3333" max="3333" width="14.42578125" style="54" bestFit="1" customWidth="1"/>
    <col min="3334" max="3334" width="11.7109375" style="54" customWidth="1"/>
    <col min="3335" max="3335" width="11.42578125" style="54"/>
    <col min="3336" max="3336" width="14.28515625" style="54" bestFit="1" customWidth="1"/>
    <col min="3337" max="3337" width="12.28515625" style="54" customWidth="1"/>
    <col min="3338" max="3343" width="11.7109375" style="54" customWidth="1"/>
    <col min="3344" max="3344" width="14.42578125" style="54" customWidth="1"/>
    <col min="3345" max="3345" width="11.5703125" style="54" bestFit="1" customWidth="1"/>
    <col min="3346" max="3346" width="9.7109375" style="54" customWidth="1"/>
    <col min="3347" max="3584" width="11.42578125" style="54"/>
    <col min="3585" max="3585" width="3.140625" style="54" customWidth="1"/>
    <col min="3586" max="3586" width="16.28515625" style="54" customWidth="1"/>
    <col min="3587" max="3587" width="14.28515625" style="54" customWidth="1"/>
    <col min="3588" max="3588" width="10.42578125" style="54" bestFit="1" customWidth="1"/>
    <col min="3589" max="3589" width="14.42578125" style="54" bestFit="1" customWidth="1"/>
    <col min="3590" max="3590" width="11.7109375" style="54" customWidth="1"/>
    <col min="3591" max="3591" width="11.42578125" style="54"/>
    <col min="3592" max="3592" width="14.28515625" style="54" bestFit="1" customWidth="1"/>
    <col min="3593" max="3593" width="12.28515625" style="54" customWidth="1"/>
    <col min="3594" max="3599" width="11.7109375" style="54" customWidth="1"/>
    <col min="3600" max="3600" width="14.42578125" style="54" customWidth="1"/>
    <col min="3601" max="3601" width="11.5703125" style="54" bestFit="1" customWidth="1"/>
    <col min="3602" max="3602" width="9.7109375" style="54" customWidth="1"/>
    <col min="3603" max="3840" width="11.42578125" style="54"/>
    <col min="3841" max="3841" width="3.140625" style="54" customWidth="1"/>
    <col min="3842" max="3842" width="16.28515625" style="54" customWidth="1"/>
    <col min="3843" max="3843" width="14.28515625" style="54" customWidth="1"/>
    <col min="3844" max="3844" width="10.42578125" style="54" bestFit="1" customWidth="1"/>
    <col min="3845" max="3845" width="14.42578125" style="54" bestFit="1" customWidth="1"/>
    <col min="3846" max="3846" width="11.7109375" style="54" customWidth="1"/>
    <col min="3847" max="3847" width="11.42578125" style="54"/>
    <col min="3848" max="3848" width="14.28515625" style="54" bestFit="1" customWidth="1"/>
    <col min="3849" max="3849" width="12.28515625" style="54" customWidth="1"/>
    <col min="3850" max="3855" width="11.7109375" style="54" customWidth="1"/>
    <col min="3856" max="3856" width="14.42578125" style="54" customWidth="1"/>
    <col min="3857" max="3857" width="11.5703125" style="54" bestFit="1" customWidth="1"/>
    <col min="3858" max="3858" width="9.7109375" style="54" customWidth="1"/>
    <col min="3859" max="4096" width="11.42578125" style="54"/>
    <col min="4097" max="4097" width="3.140625" style="54" customWidth="1"/>
    <col min="4098" max="4098" width="16.28515625" style="54" customWidth="1"/>
    <col min="4099" max="4099" width="14.28515625" style="54" customWidth="1"/>
    <col min="4100" max="4100" width="10.42578125" style="54" bestFit="1" customWidth="1"/>
    <col min="4101" max="4101" width="14.42578125" style="54" bestFit="1" customWidth="1"/>
    <col min="4102" max="4102" width="11.7109375" style="54" customWidth="1"/>
    <col min="4103" max="4103" width="11.42578125" style="54"/>
    <col min="4104" max="4104" width="14.28515625" style="54" bestFit="1" customWidth="1"/>
    <col min="4105" max="4105" width="12.28515625" style="54" customWidth="1"/>
    <col min="4106" max="4111" width="11.7109375" style="54" customWidth="1"/>
    <col min="4112" max="4112" width="14.42578125" style="54" customWidth="1"/>
    <col min="4113" max="4113" width="11.5703125" style="54" bestFit="1" customWidth="1"/>
    <col min="4114" max="4114" width="9.7109375" style="54" customWidth="1"/>
    <col min="4115" max="4352" width="11.42578125" style="54"/>
    <col min="4353" max="4353" width="3.140625" style="54" customWidth="1"/>
    <col min="4354" max="4354" width="16.28515625" style="54" customWidth="1"/>
    <col min="4355" max="4355" width="14.28515625" style="54" customWidth="1"/>
    <col min="4356" max="4356" width="10.42578125" style="54" bestFit="1" customWidth="1"/>
    <col min="4357" max="4357" width="14.42578125" style="54" bestFit="1" customWidth="1"/>
    <col min="4358" max="4358" width="11.7109375" style="54" customWidth="1"/>
    <col min="4359" max="4359" width="11.42578125" style="54"/>
    <col min="4360" max="4360" width="14.28515625" style="54" bestFit="1" customWidth="1"/>
    <col min="4361" max="4361" width="12.28515625" style="54" customWidth="1"/>
    <col min="4362" max="4367" width="11.7109375" style="54" customWidth="1"/>
    <col min="4368" max="4368" width="14.42578125" style="54" customWidth="1"/>
    <col min="4369" max="4369" width="11.5703125" style="54" bestFit="1" customWidth="1"/>
    <col min="4370" max="4370" width="9.7109375" style="54" customWidth="1"/>
    <col min="4371" max="4608" width="11.42578125" style="54"/>
    <col min="4609" max="4609" width="3.140625" style="54" customWidth="1"/>
    <col min="4610" max="4610" width="16.28515625" style="54" customWidth="1"/>
    <col min="4611" max="4611" width="14.28515625" style="54" customWidth="1"/>
    <col min="4612" max="4612" width="10.42578125" style="54" bestFit="1" customWidth="1"/>
    <col min="4613" max="4613" width="14.42578125" style="54" bestFit="1" customWidth="1"/>
    <col min="4614" max="4614" width="11.7109375" style="54" customWidth="1"/>
    <col min="4615" max="4615" width="11.42578125" style="54"/>
    <col min="4616" max="4616" width="14.28515625" style="54" bestFit="1" customWidth="1"/>
    <col min="4617" max="4617" width="12.28515625" style="54" customWidth="1"/>
    <col min="4618" max="4623" width="11.7109375" style="54" customWidth="1"/>
    <col min="4624" max="4624" width="14.42578125" style="54" customWidth="1"/>
    <col min="4625" max="4625" width="11.5703125" style="54" bestFit="1" customWidth="1"/>
    <col min="4626" max="4626" width="9.7109375" style="54" customWidth="1"/>
    <col min="4627" max="4864" width="11.42578125" style="54"/>
    <col min="4865" max="4865" width="3.140625" style="54" customWidth="1"/>
    <col min="4866" max="4866" width="16.28515625" style="54" customWidth="1"/>
    <col min="4867" max="4867" width="14.28515625" style="54" customWidth="1"/>
    <col min="4868" max="4868" width="10.42578125" style="54" bestFit="1" customWidth="1"/>
    <col min="4869" max="4869" width="14.42578125" style="54" bestFit="1" customWidth="1"/>
    <col min="4870" max="4870" width="11.7109375" style="54" customWidth="1"/>
    <col min="4871" max="4871" width="11.42578125" style="54"/>
    <col min="4872" max="4872" width="14.28515625" style="54" bestFit="1" customWidth="1"/>
    <col min="4873" max="4873" width="12.28515625" style="54" customWidth="1"/>
    <col min="4874" max="4879" width="11.7109375" style="54" customWidth="1"/>
    <col min="4880" max="4880" width="14.42578125" style="54" customWidth="1"/>
    <col min="4881" max="4881" width="11.5703125" style="54" bestFit="1" customWidth="1"/>
    <col min="4882" max="4882" width="9.7109375" style="54" customWidth="1"/>
    <col min="4883" max="5120" width="11.42578125" style="54"/>
    <col min="5121" max="5121" width="3.140625" style="54" customWidth="1"/>
    <col min="5122" max="5122" width="16.28515625" style="54" customWidth="1"/>
    <col min="5123" max="5123" width="14.28515625" style="54" customWidth="1"/>
    <col min="5124" max="5124" width="10.42578125" style="54" bestFit="1" customWidth="1"/>
    <col min="5125" max="5125" width="14.42578125" style="54" bestFit="1" customWidth="1"/>
    <col min="5126" max="5126" width="11.7109375" style="54" customWidth="1"/>
    <col min="5127" max="5127" width="11.42578125" style="54"/>
    <col min="5128" max="5128" width="14.28515625" style="54" bestFit="1" customWidth="1"/>
    <col min="5129" max="5129" width="12.28515625" style="54" customWidth="1"/>
    <col min="5130" max="5135" width="11.7109375" style="54" customWidth="1"/>
    <col min="5136" max="5136" width="14.42578125" style="54" customWidth="1"/>
    <col min="5137" max="5137" width="11.5703125" style="54" bestFit="1" customWidth="1"/>
    <col min="5138" max="5138" width="9.7109375" style="54" customWidth="1"/>
    <col min="5139" max="5376" width="11.42578125" style="54"/>
    <col min="5377" max="5377" width="3.140625" style="54" customWidth="1"/>
    <col min="5378" max="5378" width="16.28515625" style="54" customWidth="1"/>
    <col min="5379" max="5379" width="14.28515625" style="54" customWidth="1"/>
    <col min="5380" max="5380" width="10.42578125" style="54" bestFit="1" customWidth="1"/>
    <col min="5381" max="5381" width="14.42578125" style="54" bestFit="1" customWidth="1"/>
    <col min="5382" max="5382" width="11.7109375" style="54" customWidth="1"/>
    <col min="5383" max="5383" width="11.42578125" style="54"/>
    <col min="5384" max="5384" width="14.28515625" style="54" bestFit="1" customWidth="1"/>
    <col min="5385" max="5385" width="12.28515625" style="54" customWidth="1"/>
    <col min="5386" max="5391" width="11.7109375" style="54" customWidth="1"/>
    <col min="5392" max="5392" width="14.42578125" style="54" customWidth="1"/>
    <col min="5393" max="5393" width="11.5703125" style="54" bestFit="1" customWidth="1"/>
    <col min="5394" max="5394" width="9.7109375" style="54" customWidth="1"/>
    <col min="5395" max="5632" width="11.42578125" style="54"/>
    <col min="5633" max="5633" width="3.140625" style="54" customWidth="1"/>
    <col min="5634" max="5634" width="16.28515625" style="54" customWidth="1"/>
    <col min="5635" max="5635" width="14.28515625" style="54" customWidth="1"/>
    <col min="5636" max="5636" width="10.42578125" style="54" bestFit="1" customWidth="1"/>
    <col min="5637" max="5637" width="14.42578125" style="54" bestFit="1" customWidth="1"/>
    <col min="5638" max="5638" width="11.7109375" style="54" customWidth="1"/>
    <col min="5639" max="5639" width="11.42578125" style="54"/>
    <col min="5640" max="5640" width="14.28515625" style="54" bestFit="1" customWidth="1"/>
    <col min="5641" max="5641" width="12.28515625" style="54" customWidth="1"/>
    <col min="5642" max="5647" width="11.7109375" style="54" customWidth="1"/>
    <col min="5648" max="5648" width="14.42578125" style="54" customWidth="1"/>
    <col min="5649" max="5649" width="11.5703125" style="54" bestFit="1" customWidth="1"/>
    <col min="5650" max="5650" width="9.7109375" style="54" customWidth="1"/>
    <col min="5651" max="5888" width="11.42578125" style="54"/>
    <col min="5889" max="5889" width="3.140625" style="54" customWidth="1"/>
    <col min="5890" max="5890" width="16.28515625" style="54" customWidth="1"/>
    <col min="5891" max="5891" width="14.28515625" style="54" customWidth="1"/>
    <col min="5892" max="5892" width="10.42578125" style="54" bestFit="1" customWidth="1"/>
    <col min="5893" max="5893" width="14.42578125" style="54" bestFit="1" customWidth="1"/>
    <col min="5894" max="5894" width="11.7109375" style="54" customWidth="1"/>
    <col min="5895" max="5895" width="11.42578125" style="54"/>
    <col min="5896" max="5896" width="14.28515625" style="54" bestFit="1" customWidth="1"/>
    <col min="5897" max="5897" width="12.28515625" style="54" customWidth="1"/>
    <col min="5898" max="5903" width="11.7109375" style="54" customWidth="1"/>
    <col min="5904" max="5904" width="14.42578125" style="54" customWidth="1"/>
    <col min="5905" max="5905" width="11.5703125" style="54" bestFit="1" customWidth="1"/>
    <col min="5906" max="5906" width="9.7109375" style="54" customWidth="1"/>
    <col min="5907" max="6144" width="11.42578125" style="54"/>
    <col min="6145" max="6145" width="3.140625" style="54" customWidth="1"/>
    <col min="6146" max="6146" width="16.28515625" style="54" customWidth="1"/>
    <col min="6147" max="6147" width="14.28515625" style="54" customWidth="1"/>
    <col min="6148" max="6148" width="10.42578125" style="54" bestFit="1" customWidth="1"/>
    <col min="6149" max="6149" width="14.42578125" style="54" bestFit="1" customWidth="1"/>
    <col min="6150" max="6150" width="11.7109375" style="54" customWidth="1"/>
    <col min="6151" max="6151" width="11.42578125" style="54"/>
    <col min="6152" max="6152" width="14.28515625" style="54" bestFit="1" customWidth="1"/>
    <col min="6153" max="6153" width="12.28515625" style="54" customWidth="1"/>
    <col min="6154" max="6159" width="11.7109375" style="54" customWidth="1"/>
    <col min="6160" max="6160" width="14.42578125" style="54" customWidth="1"/>
    <col min="6161" max="6161" width="11.5703125" style="54" bestFit="1" customWidth="1"/>
    <col min="6162" max="6162" width="9.7109375" style="54" customWidth="1"/>
    <col min="6163" max="6400" width="11.42578125" style="54"/>
    <col min="6401" max="6401" width="3.140625" style="54" customWidth="1"/>
    <col min="6402" max="6402" width="16.28515625" style="54" customWidth="1"/>
    <col min="6403" max="6403" width="14.28515625" style="54" customWidth="1"/>
    <col min="6404" max="6404" width="10.42578125" style="54" bestFit="1" customWidth="1"/>
    <col min="6405" max="6405" width="14.42578125" style="54" bestFit="1" customWidth="1"/>
    <col min="6406" max="6406" width="11.7109375" style="54" customWidth="1"/>
    <col min="6407" max="6407" width="11.42578125" style="54"/>
    <col min="6408" max="6408" width="14.28515625" style="54" bestFit="1" customWidth="1"/>
    <col min="6409" max="6409" width="12.28515625" style="54" customWidth="1"/>
    <col min="6410" max="6415" width="11.7109375" style="54" customWidth="1"/>
    <col min="6416" max="6416" width="14.42578125" style="54" customWidth="1"/>
    <col min="6417" max="6417" width="11.5703125" style="54" bestFit="1" customWidth="1"/>
    <col min="6418" max="6418" width="9.7109375" style="54" customWidth="1"/>
    <col min="6419" max="6656" width="11.42578125" style="54"/>
    <col min="6657" max="6657" width="3.140625" style="54" customWidth="1"/>
    <col min="6658" max="6658" width="16.28515625" style="54" customWidth="1"/>
    <col min="6659" max="6659" width="14.28515625" style="54" customWidth="1"/>
    <col min="6660" max="6660" width="10.42578125" style="54" bestFit="1" customWidth="1"/>
    <col min="6661" max="6661" width="14.42578125" style="54" bestFit="1" customWidth="1"/>
    <col min="6662" max="6662" width="11.7109375" style="54" customWidth="1"/>
    <col min="6663" max="6663" width="11.42578125" style="54"/>
    <col min="6664" max="6664" width="14.28515625" style="54" bestFit="1" customWidth="1"/>
    <col min="6665" max="6665" width="12.28515625" style="54" customWidth="1"/>
    <col min="6666" max="6671" width="11.7109375" style="54" customWidth="1"/>
    <col min="6672" max="6672" width="14.42578125" style="54" customWidth="1"/>
    <col min="6673" max="6673" width="11.5703125" style="54" bestFit="1" customWidth="1"/>
    <col min="6674" max="6674" width="9.7109375" style="54" customWidth="1"/>
    <col min="6675" max="6912" width="11.42578125" style="54"/>
    <col min="6913" max="6913" width="3.140625" style="54" customWidth="1"/>
    <col min="6914" max="6914" width="16.28515625" style="54" customWidth="1"/>
    <col min="6915" max="6915" width="14.28515625" style="54" customWidth="1"/>
    <col min="6916" max="6916" width="10.42578125" style="54" bestFit="1" customWidth="1"/>
    <col min="6917" max="6917" width="14.42578125" style="54" bestFit="1" customWidth="1"/>
    <col min="6918" max="6918" width="11.7109375" style="54" customWidth="1"/>
    <col min="6919" max="6919" width="11.42578125" style="54"/>
    <col min="6920" max="6920" width="14.28515625" style="54" bestFit="1" customWidth="1"/>
    <col min="6921" max="6921" width="12.28515625" style="54" customWidth="1"/>
    <col min="6922" max="6927" width="11.7109375" style="54" customWidth="1"/>
    <col min="6928" max="6928" width="14.42578125" style="54" customWidth="1"/>
    <col min="6929" max="6929" width="11.5703125" style="54" bestFit="1" customWidth="1"/>
    <col min="6930" max="6930" width="9.7109375" style="54" customWidth="1"/>
    <col min="6931" max="7168" width="11.42578125" style="54"/>
    <col min="7169" max="7169" width="3.140625" style="54" customWidth="1"/>
    <col min="7170" max="7170" width="16.28515625" style="54" customWidth="1"/>
    <col min="7171" max="7171" width="14.28515625" style="54" customWidth="1"/>
    <col min="7172" max="7172" width="10.42578125" style="54" bestFit="1" customWidth="1"/>
    <col min="7173" max="7173" width="14.42578125" style="54" bestFit="1" customWidth="1"/>
    <col min="7174" max="7174" width="11.7109375" style="54" customWidth="1"/>
    <col min="7175" max="7175" width="11.42578125" style="54"/>
    <col min="7176" max="7176" width="14.28515625" style="54" bestFit="1" customWidth="1"/>
    <col min="7177" max="7177" width="12.28515625" style="54" customWidth="1"/>
    <col min="7178" max="7183" width="11.7109375" style="54" customWidth="1"/>
    <col min="7184" max="7184" width="14.42578125" style="54" customWidth="1"/>
    <col min="7185" max="7185" width="11.5703125" style="54" bestFit="1" customWidth="1"/>
    <col min="7186" max="7186" width="9.7109375" style="54" customWidth="1"/>
    <col min="7187" max="7424" width="11.42578125" style="54"/>
    <col min="7425" max="7425" width="3.140625" style="54" customWidth="1"/>
    <col min="7426" max="7426" width="16.28515625" style="54" customWidth="1"/>
    <col min="7427" max="7427" width="14.28515625" style="54" customWidth="1"/>
    <col min="7428" max="7428" width="10.42578125" style="54" bestFit="1" customWidth="1"/>
    <col min="7429" max="7429" width="14.42578125" style="54" bestFit="1" customWidth="1"/>
    <col min="7430" max="7430" width="11.7109375" style="54" customWidth="1"/>
    <col min="7431" max="7431" width="11.42578125" style="54"/>
    <col min="7432" max="7432" width="14.28515625" style="54" bestFit="1" customWidth="1"/>
    <col min="7433" max="7433" width="12.28515625" style="54" customWidth="1"/>
    <col min="7434" max="7439" width="11.7109375" style="54" customWidth="1"/>
    <col min="7440" max="7440" width="14.42578125" style="54" customWidth="1"/>
    <col min="7441" max="7441" width="11.5703125" style="54" bestFit="1" customWidth="1"/>
    <col min="7442" max="7442" width="9.7109375" style="54" customWidth="1"/>
    <col min="7443" max="7680" width="11.42578125" style="54"/>
    <col min="7681" max="7681" width="3.140625" style="54" customWidth="1"/>
    <col min="7682" max="7682" width="16.28515625" style="54" customWidth="1"/>
    <col min="7683" max="7683" width="14.28515625" style="54" customWidth="1"/>
    <col min="7684" max="7684" width="10.42578125" style="54" bestFit="1" customWidth="1"/>
    <col min="7685" max="7685" width="14.42578125" style="54" bestFit="1" customWidth="1"/>
    <col min="7686" max="7686" width="11.7109375" style="54" customWidth="1"/>
    <col min="7687" max="7687" width="11.42578125" style="54"/>
    <col min="7688" max="7688" width="14.28515625" style="54" bestFit="1" customWidth="1"/>
    <col min="7689" max="7689" width="12.28515625" style="54" customWidth="1"/>
    <col min="7690" max="7695" width="11.7109375" style="54" customWidth="1"/>
    <col min="7696" max="7696" width="14.42578125" style="54" customWidth="1"/>
    <col min="7697" max="7697" width="11.5703125" style="54" bestFit="1" customWidth="1"/>
    <col min="7698" max="7698" width="9.7109375" style="54" customWidth="1"/>
    <col min="7699" max="7936" width="11.42578125" style="54"/>
    <col min="7937" max="7937" width="3.140625" style="54" customWidth="1"/>
    <col min="7938" max="7938" width="16.28515625" style="54" customWidth="1"/>
    <col min="7939" max="7939" width="14.28515625" style="54" customWidth="1"/>
    <col min="7940" max="7940" width="10.42578125" style="54" bestFit="1" customWidth="1"/>
    <col min="7941" max="7941" width="14.42578125" style="54" bestFit="1" customWidth="1"/>
    <col min="7942" max="7942" width="11.7109375" style="54" customWidth="1"/>
    <col min="7943" max="7943" width="11.42578125" style="54"/>
    <col min="7944" max="7944" width="14.28515625" style="54" bestFit="1" customWidth="1"/>
    <col min="7945" max="7945" width="12.28515625" style="54" customWidth="1"/>
    <col min="7946" max="7951" width="11.7109375" style="54" customWidth="1"/>
    <col min="7952" max="7952" width="14.42578125" style="54" customWidth="1"/>
    <col min="7953" max="7953" width="11.5703125" style="54" bestFit="1" customWidth="1"/>
    <col min="7954" max="7954" width="9.7109375" style="54" customWidth="1"/>
    <col min="7955" max="8192" width="11.42578125" style="54"/>
    <col min="8193" max="8193" width="3.140625" style="54" customWidth="1"/>
    <col min="8194" max="8194" width="16.28515625" style="54" customWidth="1"/>
    <col min="8195" max="8195" width="14.28515625" style="54" customWidth="1"/>
    <col min="8196" max="8196" width="10.42578125" style="54" bestFit="1" customWidth="1"/>
    <col min="8197" max="8197" width="14.42578125" style="54" bestFit="1" customWidth="1"/>
    <col min="8198" max="8198" width="11.7109375" style="54" customWidth="1"/>
    <col min="8199" max="8199" width="11.42578125" style="54"/>
    <col min="8200" max="8200" width="14.28515625" style="54" bestFit="1" customWidth="1"/>
    <col min="8201" max="8201" width="12.28515625" style="54" customWidth="1"/>
    <col min="8202" max="8207" width="11.7109375" style="54" customWidth="1"/>
    <col min="8208" max="8208" width="14.42578125" style="54" customWidth="1"/>
    <col min="8209" max="8209" width="11.5703125" style="54" bestFit="1" customWidth="1"/>
    <col min="8210" max="8210" width="9.7109375" style="54" customWidth="1"/>
    <col min="8211" max="8448" width="11.42578125" style="54"/>
    <col min="8449" max="8449" width="3.140625" style="54" customWidth="1"/>
    <col min="8450" max="8450" width="16.28515625" style="54" customWidth="1"/>
    <col min="8451" max="8451" width="14.28515625" style="54" customWidth="1"/>
    <col min="8452" max="8452" width="10.42578125" style="54" bestFit="1" customWidth="1"/>
    <col min="8453" max="8453" width="14.42578125" style="54" bestFit="1" customWidth="1"/>
    <col min="8454" max="8454" width="11.7109375" style="54" customWidth="1"/>
    <col min="8455" max="8455" width="11.42578125" style="54"/>
    <col min="8456" max="8456" width="14.28515625" style="54" bestFit="1" customWidth="1"/>
    <col min="8457" max="8457" width="12.28515625" style="54" customWidth="1"/>
    <col min="8458" max="8463" width="11.7109375" style="54" customWidth="1"/>
    <col min="8464" max="8464" width="14.42578125" style="54" customWidth="1"/>
    <col min="8465" max="8465" width="11.5703125" style="54" bestFit="1" customWidth="1"/>
    <col min="8466" max="8466" width="9.7109375" style="54" customWidth="1"/>
    <col min="8467" max="8704" width="11.42578125" style="54"/>
    <col min="8705" max="8705" width="3.140625" style="54" customWidth="1"/>
    <col min="8706" max="8706" width="16.28515625" style="54" customWidth="1"/>
    <col min="8707" max="8707" width="14.28515625" style="54" customWidth="1"/>
    <col min="8708" max="8708" width="10.42578125" style="54" bestFit="1" customWidth="1"/>
    <col min="8709" max="8709" width="14.42578125" style="54" bestFit="1" customWidth="1"/>
    <col min="8710" max="8710" width="11.7109375" style="54" customWidth="1"/>
    <col min="8711" max="8711" width="11.42578125" style="54"/>
    <col min="8712" max="8712" width="14.28515625" style="54" bestFit="1" customWidth="1"/>
    <col min="8713" max="8713" width="12.28515625" style="54" customWidth="1"/>
    <col min="8714" max="8719" width="11.7109375" style="54" customWidth="1"/>
    <col min="8720" max="8720" width="14.42578125" style="54" customWidth="1"/>
    <col min="8721" max="8721" width="11.5703125" style="54" bestFit="1" customWidth="1"/>
    <col min="8722" max="8722" width="9.7109375" style="54" customWidth="1"/>
    <col min="8723" max="8960" width="11.42578125" style="54"/>
    <col min="8961" max="8961" width="3.140625" style="54" customWidth="1"/>
    <col min="8962" max="8962" width="16.28515625" style="54" customWidth="1"/>
    <col min="8963" max="8963" width="14.28515625" style="54" customWidth="1"/>
    <col min="8964" max="8964" width="10.42578125" style="54" bestFit="1" customWidth="1"/>
    <col min="8965" max="8965" width="14.42578125" style="54" bestFit="1" customWidth="1"/>
    <col min="8966" max="8966" width="11.7109375" style="54" customWidth="1"/>
    <col min="8967" max="8967" width="11.42578125" style="54"/>
    <col min="8968" max="8968" width="14.28515625" style="54" bestFit="1" customWidth="1"/>
    <col min="8969" max="8969" width="12.28515625" style="54" customWidth="1"/>
    <col min="8970" max="8975" width="11.7109375" style="54" customWidth="1"/>
    <col min="8976" max="8976" width="14.42578125" style="54" customWidth="1"/>
    <col min="8977" max="8977" width="11.5703125" style="54" bestFit="1" customWidth="1"/>
    <col min="8978" max="8978" width="9.7109375" style="54" customWidth="1"/>
    <col min="8979" max="9216" width="11.42578125" style="54"/>
    <col min="9217" max="9217" width="3.140625" style="54" customWidth="1"/>
    <col min="9218" max="9218" width="16.28515625" style="54" customWidth="1"/>
    <col min="9219" max="9219" width="14.28515625" style="54" customWidth="1"/>
    <col min="9220" max="9220" width="10.42578125" style="54" bestFit="1" customWidth="1"/>
    <col min="9221" max="9221" width="14.42578125" style="54" bestFit="1" customWidth="1"/>
    <col min="9222" max="9222" width="11.7109375" style="54" customWidth="1"/>
    <col min="9223" max="9223" width="11.42578125" style="54"/>
    <col min="9224" max="9224" width="14.28515625" style="54" bestFit="1" customWidth="1"/>
    <col min="9225" max="9225" width="12.28515625" style="54" customWidth="1"/>
    <col min="9226" max="9231" width="11.7109375" style="54" customWidth="1"/>
    <col min="9232" max="9232" width="14.42578125" style="54" customWidth="1"/>
    <col min="9233" max="9233" width="11.5703125" style="54" bestFit="1" customWidth="1"/>
    <col min="9234" max="9234" width="9.7109375" style="54" customWidth="1"/>
    <col min="9235" max="9472" width="11.42578125" style="54"/>
    <col min="9473" max="9473" width="3.140625" style="54" customWidth="1"/>
    <col min="9474" max="9474" width="16.28515625" style="54" customWidth="1"/>
    <col min="9475" max="9475" width="14.28515625" style="54" customWidth="1"/>
    <col min="9476" max="9476" width="10.42578125" style="54" bestFit="1" customWidth="1"/>
    <col min="9477" max="9477" width="14.42578125" style="54" bestFit="1" customWidth="1"/>
    <col min="9478" max="9478" width="11.7109375" style="54" customWidth="1"/>
    <col min="9479" max="9479" width="11.42578125" style="54"/>
    <col min="9480" max="9480" width="14.28515625" style="54" bestFit="1" customWidth="1"/>
    <col min="9481" max="9481" width="12.28515625" style="54" customWidth="1"/>
    <col min="9482" max="9487" width="11.7109375" style="54" customWidth="1"/>
    <col min="9488" max="9488" width="14.42578125" style="54" customWidth="1"/>
    <col min="9489" max="9489" width="11.5703125" style="54" bestFit="1" customWidth="1"/>
    <col min="9490" max="9490" width="9.7109375" style="54" customWidth="1"/>
    <col min="9491" max="9728" width="11.42578125" style="54"/>
    <col min="9729" max="9729" width="3.140625" style="54" customWidth="1"/>
    <col min="9730" max="9730" width="16.28515625" style="54" customWidth="1"/>
    <col min="9731" max="9731" width="14.28515625" style="54" customWidth="1"/>
    <col min="9732" max="9732" width="10.42578125" style="54" bestFit="1" customWidth="1"/>
    <col min="9733" max="9733" width="14.42578125" style="54" bestFit="1" customWidth="1"/>
    <col min="9734" max="9734" width="11.7109375" style="54" customWidth="1"/>
    <col min="9735" max="9735" width="11.42578125" style="54"/>
    <col min="9736" max="9736" width="14.28515625" style="54" bestFit="1" customWidth="1"/>
    <col min="9737" max="9737" width="12.28515625" style="54" customWidth="1"/>
    <col min="9738" max="9743" width="11.7109375" style="54" customWidth="1"/>
    <col min="9744" max="9744" width="14.42578125" style="54" customWidth="1"/>
    <col min="9745" max="9745" width="11.5703125" style="54" bestFit="1" customWidth="1"/>
    <col min="9746" max="9746" width="9.7109375" style="54" customWidth="1"/>
    <col min="9747" max="9984" width="11.42578125" style="54"/>
    <col min="9985" max="9985" width="3.140625" style="54" customWidth="1"/>
    <col min="9986" max="9986" width="16.28515625" style="54" customWidth="1"/>
    <col min="9987" max="9987" width="14.28515625" style="54" customWidth="1"/>
    <col min="9988" max="9988" width="10.42578125" style="54" bestFit="1" customWidth="1"/>
    <col min="9989" max="9989" width="14.42578125" style="54" bestFit="1" customWidth="1"/>
    <col min="9990" max="9990" width="11.7109375" style="54" customWidth="1"/>
    <col min="9991" max="9991" width="11.42578125" style="54"/>
    <col min="9992" max="9992" width="14.28515625" style="54" bestFit="1" customWidth="1"/>
    <col min="9993" max="9993" width="12.28515625" style="54" customWidth="1"/>
    <col min="9994" max="9999" width="11.7109375" style="54" customWidth="1"/>
    <col min="10000" max="10000" width="14.42578125" style="54" customWidth="1"/>
    <col min="10001" max="10001" width="11.5703125" style="54" bestFit="1" customWidth="1"/>
    <col min="10002" max="10002" width="9.7109375" style="54" customWidth="1"/>
    <col min="10003" max="10240" width="11.42578125" style="54"/>
    <col min="10241" max="10241" width="3.140625" style="54" customWidth="1"/>
    <col min="10242" max="10242" width="16.28515625" style="54" customWidth="1"/>
    <col min="10243" max="10243" width="14.28515625" style="54" customWidth="1"/>
    <col min="10244" max="10244" width="10.42578125" style="54" bestFit="1" customWidth="1"/>
    <col min="10245" max="10245" width="14.42578125" style="54" bestFit="1" customWidth="1"/>
    <col min="10246" max="10246" width="11.7109375" style="54" customWidth="1"/>
    <col min="10247" max="10247" width="11.42578125" style="54"/>
    <col min="10248" max="10248" width="14.28515625" style="54" bestFit="1" customWidth="1"/>
    <col min="10249" max="10249" width="12.28515625" style="54" customWidth="1"/>
    <col min="10250" max="10255" width="11.7109375" style="54" customWidth="1"/>
    <col min="10256" max="10256" width="14.42578125" style="54" customWidth="1"/>
    <col min="10257" max="10257" width="11.5703125" style="54" bestFit="1" customWidth="1"/>
    <col min="10258" max="10258" width="9.7109375" style="54" customWidth="1"/>
    <col min="10259" max="10496" width="11.42578125" style="54"/>
    <col min="10497" max="10497" width="3.140625" style="54" customWidth="1"/>
    <col min="10498" max="10498" width="16.28515625" style="54" customWidth="1"/>
    <col min="10499" max="10499" width="14.28515625" style="54" customWidth="1"/>
    <col min="10500" max="10500" width="10.42578125" style="54" bestFit="1" customWidth="1"/>
    <col min="10501" max="10501" width="14.42578125" style="54" bestFit="1" customWidth="1"/>
    <col min="10502" max="10502" width="11.7109375" style="54" customWidth="1"/>
    <col min="10503" max="10503" width="11.42578125" style="54"/>
    <col min="10504" max="10504" width="14.28515625" style="54" bestFit="1" customWidth="1"/>
    <col min="10505" max="10505" width="12.28515625" style="54" customWidth="1"/>
    <col min="10506" max="10511" width="11.7109375" style="54" customWidth="1"/>
    <col min="10512" max="10512" width="14.42578125" style="54" customWidth="1"/>
    <col min="10513" max="10513" width="11.5703125" style="54" bestFit="1" customWidth="1"/>
    <col min="10514" max="10514" width="9.7109375" style="54" customWidth="1"/>
    <col min="10515" max="10752" width="11.42578125" style="54"/>
    <col min="10753" max="10753" width="3.140625" style="54" customWidth="1"/>
    <col min="10754" max="10754" width="16.28515625" style="54" customWidth="1"/>
    <col min="10755" max="10755" width="14.28515625" style="54" customWidth="1"/>
    <col min="10756" max="10756" width="10.42578125" style="54" bestFit="1" customWidth="1"/>
    <col min="10757" max="10757" width="14.42578125" style="54" bestFit="1" customWidth="1"/>
    <col min="10758" max="10758" width="11.7109375" style="54" customWidth="1"/>
    <col min="10759" max="10759" width="11.42578125" style="54"/>
    <col min="10760" max="10760" width="14.28515625" style="54" bestFit="1" customWidth="1"/>
    <col min="10761" max="10761" width="12.28515625" style="54" customWidth="1"/>
    <col min="10762" max="10767" width="11.7109375" style="54" customWidth="1"/>
    <col min="10768" max="10768" width="14.42578125" style="54" customWidth="1"/>
    <col min="10769" max="10769" width="11.5703125" style="54" bestFit="1" customWidth="1"/>
    <col min="10770" max="10770" width="9.7109375" style="54" customWidth="1"/>
    <col min="10771" max="11008" width="11.42578125" style="54"/>
    <col min="11009" max="11009" width="3.140625" style="54" customWidth="1"/>
    <col min="11010" max="11010" width="16.28515625" style="54" customWidth="1"/>
    <col min="11011" max="11011" width="14.28515625" style="54" customWidth="1"/>
    <col min="11012" max="11012" width="10.42578125" style="54" bestFit="1" customWidth="1"/>
    <col min="11013" max="11013" width="14.42578125" style="54" bestFit="1" customWidth="1"/>
    <col min="11014" max="11014" width="11.7109375" style="54" customWidth="1"/>
    <col min="11015" max="11015" width="11.42578125" style="54"/>
    <col min="11016" max="11016" width="14.28515625" style="54" bestFit="1" customWidth="1"/>
    <col min="11017" max="11017" width="12.28515625" style="54" customWidth="1"/>
    <col min="11018" max="11023" width="11.7109375" style="54" customWidth="1"/>
    <col min="11024" max="11024" width="14.42578125" style="54" customWidth="1"/>
    <col min="11025" max="11025" width="11.5703125" style="54" bestFit="1" customWidth="1"/>
    <col min="11026" max="11026" width="9.7109375" style="54" customWidth="1"/>
    <col min="11027" max="11264" width="11.42578125" style="54"/>
    <col min="11265" max="11265" width="3.140625" style="54" customWidth="1"/>
    <col min="11266" max="11266" width="16.28515625" style="54" customWidth="1"/>
    <col min="11267" max="11267" width="14.28515625" style="54" customWidth="1"/>
    <col min="11268" max="11268" width="10.42578125" style="54" bestFit="1" customWidth="1"/>
    <col min="11269" max="11269" width="14.42578125" style="54" bestFit="1" customWidth="1"/>
    <col min="11270" max="11270" width="11.7109375" style="54" customWidth="1"/>
    <col min="11271" max="11271" width="11.42578125" style="54"/>
    <col min="11272" max="11272" width="14.28515625" style="54" bestFit="1" customWidth="1"/>
    <col min="11273" max="11273" width="12.28515625" style="54" customWidth="1"/>
    <col min="11274" max="11279" width="11.7109375" style="54" customWidth="1"/>
    <col min="11280" max="11280" width="14.42578125" style="54" customWidth="1"/>
    <col min="11281" max="11281" width="11.5703125" style="54" bestFit="1" customWidth="1"/>
    <col min="11282" max="11282" width="9.7109375" style="54" customWidth="1"/>
    <col min="11283" max="11520" width="11.42578125" style="54"/>
    <col min="11521" max="11521" width="3.140625" style="54" customWidth="1"/>
    <col min="11522" max="11522" width="16.28515625" style="54" customWidth="1"/>
    <col min="11523" max="11523" width="14.28515625" style="54" customWidth="1"/>
    <col min="11524" max="11524" width="10.42578125" style="54" bestFit="1" customWidth="1"/>
    <col min="11525" max="11525" width="14.42578125" style="54" bestFit="1" customWidth="1"/>
    <col min="11526" max="11526" width="11.7109375" style="54" customWidth="1"/>
    <col min="11527" max="11527" width="11.42578125" style="54"/>
    <col min="11528" max="11528" width="14.28515625" style="54" bestFit="1" customWidth="1"/>
    <col min="11529" max="11529" width="12.28515625" style="54" customWidth="1"/>
    <col min="11530" max="11535" width="11.7109375" style="54" customWidth="1"/>
    <col min="11536" max="11536" width="14.42578125" style="54" customWidth="1"/>
    <col min="11537" max="11537" width="11.5703125" style="54" bestFit="1" customWidth="1"/>
    <col min="11538" max="11538" width="9.7109375" style="54" customWidth="1"/>
    <col min="11539" max="11776" width="11.42578125" style="54"/>
    <col min="11777" max="11777" width="3.140625" style="54" customWidth="1"/>
    <col min="11778" max="11778" width="16.28515625" style="54" customWidth="1"/>
    <col min="11779" max="11779" width="14.28515625" style="54" customWidth="1"/>
    <col min="11780" max="11780" width="10.42578125" style="54" bestFit="1" customWidth="1"/>
    <col min="11781" max="11781" width="14.42578125" style="54" bestFit="1" customWidth="1"/>
    <col min="11782" max="11782" width="11.7109375" style="54" customWidth="1"/>
    <col min="11783" max="11783" width="11.42578125" style="54"/>
    <col min="11784" max="11784" width="14.28515625" style="54" bestFit="1" customWidth="1"/>
    <col min="11785" max="11785" width="12.28515625" style="54" customWidth="1"/>
    <col min="11786" max="11791" width="11.7109375" style="54" customWidth="1"/>
    <col min="11792" max="11792" width="14.42578125" style="54" customWidth="1"/>
    <col min="11793" max="11793" width="11.5703125" style="54" bestFit="1" customWidth="1"/>
    <col min="11794" max="11794" width="9.7109375" style="54" customWidth="1"/>
    <col min="11795" max="12032" width="11.42578125" style="54"/>
    <col min="12033" max="12033" width="3.140625" style="54" customWidth="1"/>
    <col min="12034" max="12034" width="16.28515625" style="54" customWidth="1"/>
    <col min="12035" max="12035" width="14.28515625" style="54" customWidth="1"/>
    <col min="12036" max="12036" width="10.42578125" style="54" bestFit="1" customWidth="1"/>
    <col min="12037" max="12037" width="14.42578125" style="54" bestFit="1" customWidth="1"/>
    <col min="12038" max="12038" width="11.7109375" style="54" customWidth="1"/>
    <col min="12039" max="12039" width="11.42578125" style="54"/>
    <col min="12040" max="12040" width="14.28515625" style="54" bestFit="1" customWidth="1"/>
    <col min="12041" max="12041" width="12.28515625" style="54" customWidth="1"/>
    <col min="12042" max="12047" width="11.7109375" style="54" customWidth="1"/>
    <col min="12048" max="12048" width="14.42578125" style="54" customWidth="1"/>
    <col min="12049" max="12049" width="11.5703125" style="54" bestFit="1" customWidth="1"/>
    <col min="12050" max="12050" width="9.7109375" style="54" customWidth="1"/>
    <col min="12051" max="12288" width="11.42578125" style="54"/>
    <col min="12289" max="12289" width="3.140625" style="54" customWidth="1"/>
    <col min="12290" max="12290" width="16.28515625" style="54" customWidth="1"/>
    <col min="12291" max="12291" width="14.28515625" style="54" customWidth="1"/>
    <col min="12292" max="12292" width="10.42578125" style="54" bestFit="1" customWidth="1"/>
    <col min="12293" max="12293" width="14.42578125" style="54" bestFit="1" customWidth="1"/>
    <col min="12294" max="12294" width="11.7109375" style="54" customWidth="1"/>
    <col min="12295" max="12295" width="11.42578125" style="54"/>
    <col min="12296" max="12296" width="14.28515625" style="54" bestFit="1" customWidth="1"/>
    <col min="12297" max="12297" width="12.28515625" style="54" customWidth="1"/>
    <col min="12298" max="12303" width="11.7109375" style="54" customWidth="1"/>
    <col min="12304" max="12304" width="14.42578125" style="54" customWidth="1"/>
    <col min="12305" max="12305" width="11.5703125" style="54" bestFit="1" customWidth="1"/>
    <col min="12306" max="12306" width="9.7109375" style="54" customWidth="1"/>
    <col min="12307" max="12544" width="11.42578125" style="54"/>
    <col min="12545" max="12545" width="3.140625" style="54" customWidth="1"/>
    <col min="12546" max="12546" width="16.28515625" style="54" customWidth="1"/>
    <col min="12547" max="12547" width="14.28515625" style="54" customWidth="1"/>
    <col min="12548" max="12548" width="10.42578125" style="54" bestFit="1" customWidth="1"/>
    <col min="12549" max="12549" width="14.42578125" style="54" bestFit="1" customWidth="1"/>
    <col min="12550" max="12550" width="11.7109375" style="54" customWidth="1"/>
    <col min="12551" max="12551" width="11.42578125" style="54"/>
    <col min="12552" max="12552" width="14.28515625" style="54" bestFit="1" customWidth="1"/>
    <col min="12553" max="12553" width="12.28515625" style="54" customWidth="1"/>
    <col min="12554" max="12559" width="11.7109375" style="54" customWidth="1"/>
    <col min="12560" max="12560" width="14.42578125" style="54" customWidth="1"/>
    <col min="12561" max="12561" width="11.5703125" style="54" bestFit="1" customWidth="1"/>
    <col min="12562" max="12562" width="9.7109375" style="54" customWidth="1"/>
    <col min="12563" max="12800" width="11.42578125" style="54"/>
    <col min="12801" max="12801" width="3.140625" style="54" customWidth="1"/>
    <col min="12802" max="12802" width="16.28515625" style="54" customWidth="1"/>
    <col min="12803" max="12803" width="14.28515625" style="54" customWidth="1"/>
    <col min="12804" max="12804" width="10.42578125" style="54" bestFit="1" customWidth="1"/>
    <col min="12805" max="12805" width="14.42578125" style="54" bestFit="1" customWidth="1"/>
    <col min="12806" max="12806" width="11.7109375" style="54" customWidth="1"/>
    <col min="12807" max="12807" width="11.42578125" style="54"/>
    <col min="12808" max="12808" width="14.28515625" style="54" bestFit="1" customWidth="1"/>
    <col min="12809" max="12809" width="12.28515625" style="54" customWidth="1"/>
    <col min="12810" max="12815" width="11.7109375" style="54" customWidth="1"/>
    <col min="12816" max="12816" width="14.42578125" style="54" customWidth="1"/>
    <col min="12817" max="12817" width="11.5703125" style="54" bestFit="1" customWidth="1"/>
    <col min="12818" max="12818" width="9.7109375" style="54" customWidth="1"/>
    <col min="12819" max="13056" width="11.42578125" style="54"/>
    <col min="13057" max="13057" width="3.140625" style="54" customWidth="1"/>
    <col min="13058" max="13058" width="16.28515625" style="54" customWidth="1"/>
    <col min="13059" max="13059" width="14.28515625" style="54" customWidth="1"/>
    <col min="13060" max="13060" width="10.42578125" style="54" bestFit="1" customWidth="1"/>
    <col min="13061" max="13061" width="14.42578125" style="54" bestFit="1" customWidth="1"/>
    <col min="13062" max="13062" width="11.7109375" style="54" customWidth="1"/>
    <col min="13063" max="13063" width="11.42578125" style="54"/>
    <col min="13064" max="13064" width="14.28515625" style="54" bestFit="1" customWidth="1"/>
    <col min="13065" max="13065" width="12.28515625" style="54" customWidth="1"/>
    <col min="13066" max="13071" width="11.7109375" style="54" customWidth="1"/>
    <col min="13072" max="13072" width="14.42578125" style="54" customWidth="1"/>
    <col min="13073" max="13073" width="11.5703125" style="54" bestFit="1" customWidth="1"/>
    <col min="13074" max="13074" width="9.7109375" style="54" customWidth="1"/>
    <col min="13075" max="13312" width="11.42578125" style="54"/>
    <col min="13313" max="13313" width="3.140625" style="54" customWidth="1"/>
    <col min="13314" max="13314" width="16.28515625" style="54" customWidth="1"/>
    <col min="13315" max="13315" width="14.28515625" style="54" customWidth="1"/>
    <col min="13316" max="13316" width="10.42578125" style="54" bestFit="1" customWidth="1"/>
    <col min="13317" max="13317" width="14.42578125" style="54" bestFit="1" customWidth="1"/>
    <col min="13318" max="13318" width="11.7109375" style="54" customWidth="1"/>
    <col min="13319" max="13319" width="11.42578125" style="54"/>
    <col min="13320" max="13320" width="14.28515625" style="54" bestFit="1" customWidth="1"/>
    <col min="13321" max="13321" width="12.28515625" style="54" customWidth="1"/>
    <col min="13322" max="13327" width="11.7109375" style="54" customWidth="1"/>
    <col min="13328" max="13328" width="14.42578125" style="54" customWidth="1"/>
    <col min="13329" max="13329" width="11.5703125" style="54" bestFit="1" customWidth="1"/>
    <col min="13330" max="13330" width="9.7109375" style="54" customWidth="1"/>
    <col min="13331" max="13568" width="11.42578125" style="54"/>
    <col min="13569" max="13569" width="3.140625" style="54" customWidth="1"/>
    <col min="13570" max="13570" width="16.28515625" style="54" customWidth="1"/>
    <col min="13571" max="13571" width="14.28515625" style="54" customWidth="1"/>
    <col min="13572" max="13572" width="10.42578125" style="54" bestFit="1" customWidth="1"/>
    <col min="13573" max="13573" width="14.42578125" style="54" bestFit="1" customWidth="1"/>
    <col min="13574" max="13574" width="11.7109375" style="54" customWidth="1"/>
    <col min="13575" max="13575" width="11.42578125" style="54"/>
    <col min="13576" max="13576" width="14.28515625" style="54" bestFit="1" customWidth="1"/>
    <col min="13577" max="13577" width="12.28515625" style="54" customWidth="1"/>
    <col min="13578" max="13583" width="11.7109375" style="54" customWidth="1"/>
    <col min="13584" max="13584" width="14.42578125" style="54" customWidth="1"/>
    <col min="13585" max="13585" width="11.5703125" style="54" bestFit="1" customWidth="1"/>
    <col min="13586" max="13586" width="9.7109375" style="54" customWidth="1"/>
    <col min="13587" max="13824" width="11.42578125" style="54"/>
    <col min="13825" max="13825" width="3.140625" style="54" customWidth="1"/>
    <col min="13826" max="13826" width="16.28515625" style="54" customWidth="1"/>
    <col min="13827" max="13827" width="14.28515625" style="54" customWidth="1"/>
    <col min="13828" max="13828" width="10.42578125" style="54" bestFit="1" customWidth="1"/>
    <col min="13829" max="13829" width="14.42578125" style="54" bestFit="1" customWidth="1"/>
    <col min="13830" max="13830" width="11.7109375" style="54" customWidth="1"/>
    <col min="13831" max="13831" width="11.42578125" style="54"/>
    <col min="13832" max="13832" width="14.28515625" style="54" bestFit="1" customWidth="1"/>
    <col min="13833" max="13833" width="12.28515625" style="54" customWidth="1"/>
    <col min="13834" max="13839" width="11.7109375" style="54" customWidth="1"/>
    <col min="13840" max="13840" width="14.42578125" style="54" customWidth="1"/>
    <col min="13841" max="13841" width="11.5703125" style="54" bestFit="1" customWidth="1"/>
    <col min="13842" max="13842" width="9.7109375" style="54" customWidth="1"/>
    <col min="13843" max="14080" width="11.42578125" style="54"/>
    <col min="14081" max="14081" width="3.140625" style="54" customWidth="1"/>
    <col min="14082" max="14082" width="16.28515625" style="54" customWidth="1"/>
    <col min="14083" max="14083" width="14.28515625" style="54" customWidth="1"/>
    <col min="14084" max="14084" width="10.42578125" style="54" bestFit="1" customWidth="1"/>
    <col min="14085" max="14085" width="14.42578125" style="54" bestFit="1" customWidth="1"/>
    <col min="14086" max="14086" width="11.7109375" style="54" customWidth="1"/>
    <col min="14087" max="14087" width="11.42578125" style="54"/>
    <col min="14088" max="14088" width="14.28515625" style="54" bestFit="1" customWidth="1"/>
    <col min="14089" max="14089" width="12.28515625" style="54" customWidth="1"/>
    <col min="14090" max="14095" width="11.7109375" style="54" customWidth="1"/>
    <col min="14096" max="14096" width="14.42578125" style="54" customWidth="1"/>
    <col min="14097" max="14097" width="11.5703125" style="54" bestFit="1" customWidth="1"/>
    <col min="14098" max="14098" width="9.7109375" style="54" customWidth="1"/>
    <col min="14099" max="14336" width="11.42578125" style="54"/>
    <col min="14337" max="14337" width="3.140625" style="54" customWidth="1"/>
    <col min="14338" max="14338" width="16.28515625" style="54" customWidth="1"/>
    <col min="14339" max="14339" width="14.28515625" style="54" customWidth="1"/>
    <col min="14340" max="14340" width="10.42578125" style="54" bestFit="1" customWidth="1"/>
    <col min="14341" max="14341" width="14.42578125" style="54" bestFit="1" customWidth="1"/>
    <col min="14342" max="14342" width="11.7109375" style="54" customWidth="1"/>
    <col min="14343" max="14343" width="11.42578125" style="54"/>
    <col min="14344" max="14344" width="14.28515625" style="54" bestFit="1" customWidth="1"/>
    <col min="14345" max="14345" width="12.28515625" style="54" customWidth="1"/>
    <col min="14346" max="14351" width="11.7109375" style="54" customWidth="1"/>
    <col min="14352" max="14352" width="14.42578125" style="54" customWidth="1"/>
    <col min="14353" max="14353" width="11.5703125" style="54" bestFit="1" customWidth="1"/>
    <col min="14354" max="14354" width="9.7109375" style="54" customWidth="1"/>
    <col min="14355" max="14592" width="11.42578125" style="54"/>
    <col min="14593" max="14593" width="3.140625" style="54" customWidth="1"/>
    <col min="14594" max="14594" width="16.28515625" style="54" customWidth="1"/>
    <col min="14595" max="14595" width="14.28515625" style="54" customWidth="1"/>
    <col min="14596" max="14596" width="10.42578125" style="54" bestFit="1" customWidth="1"/>
    <col min="14597" max="14597" width="14.42578125" style="54" bestFit="1" customWidth="1"/>
    <col min="14598" max="14598" width="11.7109375" style="54" customWidth="1"/>
    <col min="14599" max="14599" width="11.42578125" style="54"/>
    <col min="14600" max="14600" width="14.28515625" style="54" bestFit="1" customWidth="1"/>
    <col min="14601" max="14601" width="12.28515625" style="54" customWidth="1"/>
    <col min="14602" max="14607" width="11.7109375" style="54" customWidth="1"/>
    <col min="14608" max="14608" width="14.42578125" style="54" customWidth="1"/>
    <col min="14609" max="14609" width="11.5703125" style="54" bestFit="1" customWidth="1"/>
    <col min="14610" max="14610" width="9.7109375" style="54" customWidth="1"/>
    <col min="14611" max="14848" width="11.42578125" style="54"/>
    <col min="14849" max="14849" width="3.140625" style="54" customWidth="1"/>
    <col min="14850" max="14850" width="16.28515625" style="54" customWidth="1"/>
    <col min="14851" max="14851" width="14.28515625" style="54" customWidth="1"/>
    <col min="14852" max="14852" width="10.42578125" style="54" bestFit="1" customWidth="1"/>
    <col min="14853" max="14853" width="14.42578125" style="54" bestFit="1" customWidth="1"/>
    <col min="14854" max="14854" width="11.7109375" style="54" customWidth="1"/>
    <col min="14855" max="14855" width="11.42578125" style="54"/>
    <col min="14856" max="14856" width="14.28515625" style="54" bestFit="1" customWidth="1"/>
    <col min="14857" max="14857" width="12.28515625" style="54" customWidth="1"/>
    <col min="14858" max="14863" width="11.7109375" style="54" customWidth="1"/>
    <col min="14864" max="14864" width="14.42578125" style="54" customWidth="1"/>
    <col min="14865" max="14865" width="11.5703125" style="54" bestFit="1" customWidth="1"/>
    <col min="14866" max="14866" width="9.7109375" style="54" customWidth="1"/>
    <col min="14867" max="15104" width="11.42578125" style="54"/>
    <col min="15105" max="15105" width="3.140625" style="54" customWidth="1"/>
    <col min="15106" max="15106" width="16.28515625" style="54" customWidth="1"/>
    <col min="15107" max="15107" width="14.28515625" style="54" customWidth="1"/>
    <col min="15108" max="15108" width="10.42578125" style="54" bestFit="1" customWidth="1"/>
    <col min="15109" max="15109" width="14.42578125" style="54" bestFit="1" customWidth="1"/>
    <col min="15110" max="15110" width="11.7109375" style="54" customWidth="1"/>
    <col min="15111" max="15111" width="11.42578125" style="54"/>
    <col min="15112" max="15112" width="14.28515625" style="54" bestFit="1" customWidth="1"/>
    <col min="15113" max="15113" width="12.28515625" style="54" customWidth="1"/>
    <col min="15114" max="15119" width="11.7109375" style="54" customWidth="1"/>
    <col min="15120" max="15120" width="14.42578125" style="54" customWidth="1"/>
    <col min="15121" max="15121" width="11.5703125" style="54" bestFit="1" customWidth="1"/>
    <col min="15122" max="15122" width="9.7109375" style="54" customWidth="1"/>
    <col min="15123" max="15360" width="11.42578125" style="54"/>
    <col min="15361" max="15361" width="3.140625" style="54" customWidth="1"/>
    <col min="15362" max="15362" width="16.28515625" style="54" customWidth="1"/>
    <col min="15363" max="15363" width="14.28515625" style="54" customWidth="1"/>
    <col min="15364" max="15364" width="10.42578125" style="54" bestFit="1" customWidth="1"/>
    <col min="15365" max="15365" width="14.42578125" style="54" bestFit="1" customWidth="1"/>
    <col min="15366" max="15366" width="11.7109375" style="54" customWidth="1"/>
    <col min="15367" max="15367" width="11.42578125" style="54"/>
    <col min="15368" max="15368" width="14.28515625" style="54" bestFit="1" customWidth="1"/>
    <col min="15369" max="15369" width="12.28515625" style="54" customWidth="1"/>
    <col min="15370" max="15375" width="11.7109375" style="54" customWidth="1"/>
    <col min="15376" max="15376" width="14.42578125" style="54" customWidth="1"/>
    <col min="15377" max="15377" width="11.5703125" style="54" bestFit="1" customWidth="1"/>
    <col min="15378" max="15378" width="9.7109375" style="54" customWidth="1"/>
    <col min="15379" max="15616" width="11.42578125" style="54"/>
    <col min="15617" max="15617" width="3.140625" style="54" customWidth="1"/>
    <col min="15618" max="15618" width="16.28515625" style="54" customWidth="1"/>
    <col min="15619" max="15619" width="14.28515625" style="54" customWidth="1"/>
    <col min="15620" max="15620" width="10.42578125" style="54" bestFit="1" customWidth="1"/>
    <col min="15621" max="15621" width="14.42578125" style="54" bestFit="1" customWidth="1"/>
    <col min="15622" max="15622" width="11.7109375" style="54" customWidth="1"/>
    <col min="15623" max="15623" width="11.42578125" style="54"/>
    <col min="15624" max="15624" width="14.28515625" style="54" bestFit="1" customWidth="1"/>
    <col min="15625" max="15625" width="12.28515625" style="54" customWidth="1"/>
    <col min="15626" max="15631" width="11.7109375" style="54" customWidth="1"/>
    <col min="15632" max="15632" width="14.42578125" style="54" customWidth="1"/>
    <col min="15633" max="15633" width="11.5703125" style="54" bestFit="1" customWidth="1"/>
    <col min="15634" max="15634" width="9.7109375" style="54" customWidth="1"/>
    <col min="15635" max="15872" width="11.42578125" style="54"/>
    <col min="15873" max="15873" width="3.140625" style="54" customWidth="1"/>
    <col min="15874" max="15874" width="16.28515625" style="54" customWidth="1"/>
    <col min="15875" max="15875" width="14.28515625" style="54" customWidth="1"/>
    <col min="15876" max="15876" width="10.42578125" style="54" bestFit="1" customWidth="1"/>
    <col min="15877" max="15877" width="14.42578125" style="54" bestFit="1" customWidth="1"/>
    <col min="15878" max="15878" width="11.7109375" style="54" customWidth="1"/>
    <col min="15879" max="15879" width="11.42578125" style="54"/>
    <col min="15880" max="15880" width="14.28515625" style="54" bestFit="1" customWidth="1"/>
    <col min="15881" max="15881" width="12.28515625" style="54" customWidth="1"/>
    <col min="15882" max="15887" width="11.7109375" style="54" customWidth="1"/>
    <col min="15888" max="15888" width="14.42578125" style="54" customWidth="1"/>
    <col min="15889" max="15889" width="11.5703125" style="54" bestFit="1" customWidth="1"/>
    <col min="15890" max="15890" width="9.7109375" style="54" customWidth="1"/>
    <col min="15891" max="16128" width="11.42578125" style="54"/>
    <col min="16129" max="16129" width="3.140625" style="54" customWidth="1"/>
    <col min="16130" max="16130" width="16.28515625" style="54" customWidth="1"/>
    <col min="16131" max="16131" width="14.28515625" style="54" customWidth="1"/>
    <col min="16132" max="16132" width="10.42578125" style="54" bestFit="1" customWidth="1"/>
    <col min="16133" max="16133" width="14.42578125" style="54" bestFit="1" customWidth="1"/>
    <col min="16134" max="16134" width="11.7109375" style="54" customWidth="1"/>
    <col min="16135" max="16135" width="11.42578125" style="54"/>
    <col min="16136" max="16136" width="14.28515625" style="54" bestFit="1" customWidth="1"/>
    <col min="16137" max="16137" width="12.28515625" style="54" customWidth="1"/>
    <col min="16138" max="16143" width="11.7109375" style="54" customWidth="1"/>
    <col min="16144" max="16144" width="14.42578125" style="54" customWidth="1"/>
    <col min="16145" max="16145" width="11.5703125" style="54" bestFit="1" customWidth="1"/>
    <col min="16146" max="16146" width="9.7109375" style="54" customWidth="1"/>
    <col min="16147" max="16384" width="11.42578125" style="54"/>
  </cols>
  <sheetData>
    <row r="1" spans="2:33" ht="15" x14ac:dyDescent="0.25">
      <c r="B1" s="51" t="s">
        <v>47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2:33" ht="15" x14ac:dyDescent="0.25">
      <c r="B2" s="55" t="s">
        <v>48</v>
      </c>
      <c r="C2" s="56" t="s">
        <v>49</v>
      </c>
      <c r="D2" s="57"/>
      <c r="E2" s="58"/>
      <c r="F2" s="57"/>
      <c r="G2" s="58"/>
      <c r="H2" s="57"/>
      <c r="I2" s="52"/>
      <c r="J2" s="52"/>
      <c r="K2" s="52"/>
      <c r="L2" s="52"/>
      <c r="M2" s="52"/>
      <c r="N2" s="52"/>
      <c r="O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2:33" ht="15" x14ac:dyDescent="0.25">
      <c r="B3" s="55"/>
      <c r="C3" s="56"/>
      <c r="D3" s="57"/>
      <c r="E3" s="58"/>
      <c r="F3" s="57"/>
      <c r="G3" s="58"/>
      <c r="H3" s="57"/>
      <c r="I3" s="52"/>
      <c r="J3" s="52"/>
      <c r="K3" s="52"/>
      <c r="L3" s="52"/>
      <c r="M3" s="52"/>
      <c r="N3" s="52"/>
      <c r="O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2:33" ht="15" x14ac:dyDescent="0.25">
      <c r="B4" s="59" t="s">
        <v>50</v>
      </c>
      <c r="C4" s="56"/>
      <c r="D4" s="57"/>
      <c r="E4" s="58"/>
      <c r="F4" s="57"/>
      <c r="G4" s="58"/>
      <c r="H4" s="57"/>
      <c r="I4" s="52"/>
      <c r="J4" s="52"/>
      <c r="K4" s="52"/>
      <c r="L4" s="52"/>
      <c r="M4" s="52"/>
      <c r="N4" s="52"/>
      <c r="O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2:33" ht="8.25" customHeight="1" x14ac:dyDescent="0.25">
      <c r="B5" s="59"/>
      <c r="C5" s="56"/>
      <c r="D5" s="57"/>
      <c r="E5" s="58"/>
      <c r="F5" s="57"/>
      <c r="G5" s="58"/>
      <c r="H5" s="57"/>
      <c r="I5" s="52"/>
      <c r="J5" s="52"/>
      <c r="K5" s="52"/>
      <c r="L5" s="52"/>
      <c r="M5" s="52"/>
      <c r="N5" s="52"/>
      <c r="O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2:33" ht="18" x14ac:dyDescent="0.25">
      <c r="B6" s="55" t="s">
        <v>51</v>
      </c>
      <c r="C6" s="60"/>
      <c r="D6" s="61">
        <f>D13*D8</f>
        <v>3750</v>
      </c>
      <c r="E6" s="62" t="s">
        <v>52</v>
      </c>
      <c r="F6" s="63" t="s">
        <v>53</v>
      </c>
      <c r="G6" s="58"/>
      <c r="H6" s="57"/>
      <c r="I6" s="52"/>
      <c r="J6" s="64"/>
      <c r="K6" s="65"/>
      <c r="L6" s="52"/>
      <c r="M6" s="52"/>
      <c r="N6" s="52"/>
      <c r="O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2:33" ht="15" x14ac:dyDescent="0.25">
      <c r="B7" s="55" t="s">
        <v>54</v>
      </c>
      <c r="C7" s="61"/>
      <c r="D7" s="66"/>
      <c r="E7" s="62" t="s">
        <v>55</v>
      </c>
      <c r="F7" s="67"/>
      <c r="G7" s="58"/>
      <c r="H7" s="57"/>
      <c r="I7" s="52"/>
      <c r="J7" s="52"/>
      <c r="K7" s="65"/>
      <c r="L7" s="52"/>
      <c r="M7" s="52"/>
      <c r="N7" s="52"/>
      <c r="O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2:33" ht="15" x14ac:dyDescent="0.25">
      <c r="B8" s="55" t="s">
        <v>56</v>
      </c>
      <c r="C8" s="61"/>
      <c r="D8" s="66">
        <v>5</v>
      </c>
      <c r="E8" s="62" t="s">
        <v>55</v>
      </c>
      <c r="F8" s="67"/>
      <c r="G8" s="58"/>
      <c r="H8" s="57"/>
      <c r="I8" s="52"/>
      <c r="J8" s="52"/>
      <c r="K8" s="65"/>
      <c r="L8" s="52"/>
      <c r="M8" s="52"/>
      <c r="N8" s="52"/>
      <c r="O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2:33" ht="15" x14ac:dyDescent="0.25">
      <c r="B9" s="55" t="s">
        <v>57</v>
      </c>
      <c r="C9" s="61"/>
      <c r="D9" s="61"/>
      <c r="E9" s="62" t="s">
        <v>58</v>
      </c>
      <c r="F9" s="67"/>
      <c r="G9" s="58"/>
      <c r="H9" s="57"/>
      <c r="I9" s="52"/>
      <c r="J9" s="52"/>
      <c r="K9" s="52"/>
      <c r="L9" s="52"/>
      <c r="M9" s="52"/>
      <c r="N9" s="52"/>
      <c r="O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2:33" ht="15" x14ac:dyDescent="0.25">
      <c r="B10" s="55" t="s">
        <v>59</v>
      </c>
      <c r="C10" s="61"/>
      <c r="D10" s="61">
        <v>150</v>
      </c>
      <c r="E10" s="62" t="s">
        <v>58</v>
      </c>
      <c r="F10" s="67"/>
      <c r="G10" s="58"/>
      <c r="H10" s="57"/>
      <c r="I10" s="52"/>
      <c r="J10" s="52"/>
      <c r="K10" s="52"/>
      <c r="L10" s="52"/>
      <c r="M10" s="52"/>
      <c r="N10" s="52"/>
      <c r="O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2:33" ht="15" x14ac:dyDescent="0.25">
      <c r="B11" s="55" t="s">
        <v>60</v>
      </c>
      <c r="C11" s="61"/>
      <c r="D11" s="66"/>
      <c r="E11" s="62" t="s">
        <v>2</v>
      </c>
      <c r="F11" s="57"/>
      <c r="G11" s="58"/>
      <c r="H11" s="57"/>
      <c r="I11" s="52"/>
      <c r="J11" s="52"/>
      <c r="K11" s="52"/>
      <c r="L11" s="52"/>
      <c r="M11" s="52"/>
      <c r="N11" s="52"/>
      <c r="O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2:33" ht="15" x14ac:dyDescent="0.25">
      <c r="B12" s="55" t="s">
        <v>61</v>
      </c>
      <c r="C12" s="61"/>
      <c r="D12" s="61"/>
      <c r="E12" s="62" t="s">
        <v>0</v>
      </c>
      <c r="F12" s="68"/>
      <c r="G12" s="58"/>
      <c r="H12" s="57"/>
      <c r="I12" s="52"/>
      <c r="J12" s="52"/>
      <c r="K12" s="52"/>
      <c r="L12" s="52"/>
      <c r="M12" s="52"/>
      <c r="N12" s="52"/>
      <c r="O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2:33" ht="15" x14ac:dyDescent="0.25">
      <c r="B13" s="55" t="s">
        <v>62</v>
      </c>
      <c r="C13" s="61"/>
      <c r="D13" s="69">
        <v>750</v>
      </c>
      <c r="E13" s="62" t="s">
        <v>63</v>
      </c>
      <c r="F13" s="62"/>
      <c r="G13" s="58"/>
      <c r="H13" s="57"/>
      <c r="I13" s="52"/>
      <c r="J13" s="52"/>
      <c r="K13" s="52"/>
      <c r="L13" s="52"/>
      <c r="M13" s="52"/>
      <c r="N13" s="52"/>
      <c r="O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2:33" ht="15" x14ac:dyDescent="0.25">
      <c r="B14" s="55" t="s">
        <v>64</v>
      </c>
      <c r="C14" s="61"/>
      <c r="D14" s="61"/>
      <c r="E14" s="62" t="s">
        <v>63</v>
      </c>
      <c r="F14" s="62"/>
      <c r="G14" s="58"/>
      <c r="H14" s="57"/>
      <c r="I14" s="52"/>
      <c r="J14" s="52"/>
      <c r="K14" s="52"/>
      <c r="L14" s="52"/>
      <c r="M14" s="52"/>
      <c r="N14" s="52"/>
      <c r="O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2:33" ht="15" x14ac:dyDescent="0.25">
      <c r="B15" s="55" t="s">
        <v>65</v>
      </c>
      <c r="C15" s="61"/>
      <c r="D15" s="61"/>
      <c r="E15" s="62" t="s">
        <v>63</v>
      </c>
      <c r="F15" s="62"/>
      <c r="G15" s="58"/>
      <c r="H15" s="57"/>
      <c r="I15" s="52"/>
      <c r="J15" s="52"/>
      <c r="K15" s="52"/>
      <c r="L15" s="52"/>
      <c r="M15" s="52"/>
      <c r="N15" s="52"/>
      <c r="O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2:33" ht="15" x14ac:dyDescent="0.25">
      <c r="B16" s="55" t="s">
        <v>66</v>
      </c>
      <c r="C16" s="61"/>
      <c r="D16" s="61"/>
      <c r="E16" s="62" t="s">
        <v>63</v>
      </c>
      <c r="G16" s="58"/>
      <c r="H16" s="57"/>
      <c r="I16" s="52"/>
      <c r="J16" s="52"/>
      <c r="K16" s="52"/>
      <c r="L16" s="52"/>
      <c r="M16" s="52"/>
      <c r="N16" s="52"/>
      <c r="O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 ht="15" x14ac:dyDescent="0.25">
      <c r="B17" s="55" t="s">
        <v>67</v>
      </c>
      <c r="D17" s="61"/>
      <c r="E17" s="62" t="s">
        <v>52</v>
      </c>
      <c r="G17" s="58"/>
      <c r="H17" s="57"/>
      <c r="I17" s="52"/>
      <c r="J17" s="52"/>
      <c r="K17" s="52"/>
      <c r="L17" s="52"/>
      <c r="M17" s="52"/>
      <c r="N17" s="52"/>
      <c r="O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ht="15" x14ac:dyDescent="0.25">
      <c r="B18" s="55" t="s">
        <v>68</v>
      </c>
      <c r="C18" s="61"/>
      <c r="D18" s="71">
        <v>0.02</v>
      </c>
      <c r="E18" s="62" t="s">
        <v>69</v>
      </c>
      <c r="G18" s="58"/>
      <c r="H18" s="57"/>
      <c r="I18" s="52"/>
      <c r="J18" s="52"/>
      <c r="K18" s="52"/>
      <c r="L18" s="52"/>
      <c r="M18" s="52"/>
      <c r="N18" s="52"/>
      <c r="O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15" x14ac:dyDescent="0.25">
      <c r="B19" s="55"/>
      <c r="C19" s="61"/>
      <c r="D19" s="72"/>
      <c r="E19" s="62"/>
      <c r="F19" s="57"/>
      <c r="G19" s="58"/>
      <c r="H19" s="57"/>
      <c r="I19" s="52"/>
      <c r="J19" s="73"/>
      <c r="K19" s="52"/>
      <c r="L19" s="52"/>
      <c r="M19" s="52"/>
      <c r="N19" s="52"/>
      <c r="O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15" x14ac:dyDescent="0.25">
      <c r="B20" s="55"/>
      <c r="C20" s="61"/>
      <c r="D20" s="72"/>
      <c r="E20" s="62"/>
      <c r="F20" s="74"/>
      <c r="G20" s="53"/>
      <c r="H20" s="74"/>
      <c r="I20" s="75"/>
      <c r="J20" s="75"/>
      <c r="K20" s="75"/>
      <c r="L20" s="75"/>
      <c r="M20" s="75"/>
      <c r="N20" s="75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 ht="15" x14ac:dyDescent="0.25">
      <c r="B21" s="55"/>
      <c r="C21" s="74"/>
      <c r="D21" s="72"/>
      <c r="E21" s="62"/>
      <c r="F21" s="74"/>
      <c r="G21" s="53"/>
      <c r="H21" s="74"/>
      <c r="I21" s="75"/>
      <c r="J21" s="75"/>
      <c r="K21" s="74"/>
      <c r="L21" s="75"/>
      <c r="M21" s="75"/>
      <c r="N21" s="75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 ht="14.25" x14ac:dyDescent="0.2">
      <c r="C22" s="74"/>
      <c r="D22" s="72"/>
      <c r="E22" s="62"/>
      <c r="F22" s="74"/>
      <c r="G22" s="53"/>
      <c r="H22" s="74"/>
      <c r="I22" s="75"/>
      <c r="J22" s="75"/>
      <c r="K22" s="75"/>
      <c r="L22" s="75"/>
      <c r="M22" s="75"/>
      <c r="N22" s="75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ht="15" thickBot="1" x14ac:dyDescent="0.25">
      <c r="B23" s="53"/>
      <c r="C23" s="74"/>
      <c r="D23" s="74"/>
      <c r="E23" s="53"/>
      <c r="F23" s="74"/>
      <c r="G23" s="53"/>
      <c r="H23" s="74"/>
      <c r="I23" s="75"/>
      <c r="J23" s="75"/>
      <c r="K23" s="75"/>
      <c r="L23" s="75"/>
      <c r="M23" s="75"/>
      <c r="N23" s="75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</row>
    <row r="24" spans="1:33" ht="14.25" x14ac:dyDescent="0.2">
      <c r="B24" s="76" t="s">
        <v>70</v>
      </c>
      <c r="C24" s="77" t="s">
        <v>22</v>
      </c>
      <c r="D24" s="77" t="s">
        <v>71</v>
      </c>
      <c r="E24" s="78" t="s">
        <v>23</v>
      </c>
      <c r="F24" s="77" t="s">
        <v>8</v>
      </c>
      <c r="G24" s="77" t="s">
        <v>72</v>
      </c>
      <c r="H24" s="77" t="s">
        <v>73</v>
      </c>
      <c r="I24" s="79" t="s">
        <v>74</v>
      </c>
      <c r="J24" s="80" t="s">
        <v>75</v>
      </c>
      <c r="K24" s="81"/>
      <c r="L24" s="81"/>
      <c r="M24" s="81"/>
      <c r="N24" s="82" t="s">
        <v>76</v>
      </c>
      <c r="O24" s="83"/>
      <c r="P24" s="84"/>
      <c r="Q24" s="84"/>
      <c r="R24" s="84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ht="28.5" customHeight="1" x14ac:dyDescent="0.2">
      <c r="B25" s="85"/>
      <c r="C25" s="86" t="s">
        <v>77</v>
      </c>
      <c r="D25" s="86" t="s">
        <v>78</v>
      </c>
      <c r="E25" s="87" t="s">
        <v>8</v>
      </c>
      <c r="F25" s="86" t="s">
        <v>79</v>
      </c>
      <c r="G25" s="86" t="s">
        <v>80</v>
      </c>
      <c r="H25" s="86" t="s">
        <v>79</v>
      </c>
      <c r="I25" s="88" t="s">
        <v>81</v>
      </c>
      <c r="J25" s="89" t="s">
        <v>82</v>
      </c>
      <c r="K25" s="90" t="s">
        <v>83</v>
      </c>
      <c r="L25" s="91" t="s">
        <v>84</v>
      </c>
      <c r="M25" s="92" t="s">
        <v>85</v>
      </c>
      <c r="N25" s="93" t="s">
        <v>79</v>
      </c>
      <c r="O25" s="94"/>
      <c r="P25" s="84"/>
      <c r="Q25" s="84"/>
      <c r="R25" s="84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</row>
    <row r="26" spans="1:33" ht="14.25" x14ac:dyDescent="0.2">
      <c r="B26" s="95"/>
      <c r="C26" s="96" t="s">
        <v>86</v>
      </c>
      <c r="D26" s="96"/>
      <c r="E26" s="97" t="s">
        <v>87</v>
      </c>
      <c r="F26" s="96"/>
      <c r="G26" s="96"/>
      <c r="H26" s="96"/>
      <c r="I26" s="98"/>
      <c r="J26" s="99"/>
      <c r="K26" s="100"/>
      <c r="L26" s="101">
        <v>12</v>
      </c>
      <c r="M26" s="102"/>
      <c r="N26" s="103">
        <v>0.15</v>
      </c>
      <c r="O26" s="104">
        <v>0.2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ht="15" x14ac:dyDescent="0.25">
      <c r="A27" s="105">
        <v>0</v>
      </c>
      <c r="B27" s="106">
        <v>2010</v>
      </c>
      <c r="C27" s="107">
        <f>D27*D8+D17</f>
        <v>3750</v>
      </c>
      <c r="D27" s="108">
        <f>D13+D14</f>
        <v>750</v>
      </c>
      <c r="E27" s="109">
        <f>+D10</f>
        <v>150</v>
      </c>
      <c r="F27" s="107">
        <f>C27*E27/1000*(IF(MOD(B27,4)=0,366,365))</f>
        <v>205312.5</v>
      </c>
      <c r="G27" s="110">
        <v>0.2</v>
      </c>
      <c r="H27" s="107">
        <f t="shared" ref="H27:H47" si="0">+F27/(1-G27)</f>
        <v>256640.625</v>
      </c>
      <c r="I27" s="111">
        <v>1.5</v>
      </c>
      <c r="J27" s="112">
        <f>H27/IF(MOD(B27,4)=0,366,365)/(24*60*60)*1000</f>
        <v>8.1380208333333339</v>
      </c>
      <c r="K27" s="113">
        <f>+J27*I27</f>
        <v>12.20703125</v>
      </c>
      <c r="L27" s="114">
        <f>K27*(24/$L$26)</f>
        <v>24.4140625</v>
      </c>
      <c r="M27" s="115">
        <f>1.5*K27</f>
        <v>18.310546875</v>
      </c>
      <c r="N27" s="116">
        <f>K27*86.4*$N$26</f>
        <v>158.203125</v>
      </c>
      <c r="O27" s="117">
        <f>K27*86.4*$O$26</f>
        <v>210.9375</v>
      </c>
      <c r="P27" s="118"/>
      <c r="Q27" s="119"/>
      <c r="R27" s="84"/>
      <c r="S27" s="84"/>
      <c r="T27" s="84"/>
      <c r="U27" s="84"/>
      <c r="V27" s="84"/>
      <c r="W27" s="84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ht="14.25" x14ac:dyDescent="0.2">
      <c r="A28" s="105">
        <f t="shared" ref="A28:B43" si="1">A27+1</f>
        <v>1</v>
      </c>
      <c r="B28" s="106">
        <f t="shared" si="1"/>
        <v>2011</v>
      </c>
      <c r="C28" s="107">
        <f>C27*(1+$D$18)</f>
        <v>3825</v>
      </c>
      <c r="D28" s="107">
        <f>C28/$D$8</f>
        <v>765</v>
      </c>
      <c r="E28" s="109">
        <f t="shared" ref="E28:E47" si="2">E27</f>
        <v>150</v>
      </c>
      <c r="F28" s="107">
        <f t="shared" ref="F28:F47" si="3">C28*E28/1000*(IF(MOD(B28,4)=0,366,365))</f>
        <v>209418.75</v>
      </c>
      <c r="G28" s="110">
        <v>0.2</v>
      </c>
      <c r="H28" s="107">
        <f t="shared" si="0"/>
        <v>261773.4375</v>
      </c>
      <c r="I28" s="111">
        <v>1.5</v>
      </c>
      <c r="J28" s="112">
        <f t="shared" ref="J28:J47" si="4">H28/IF(MOD(B28,4)=0,366,365)/(24*60*60)*1000</f>
        <v>8.30078125</v>
      </c>
      <c r="K28" s="113">
        <f t="shared" ref="K28:K47" si="5">+J28*I28</f>
        <v>12.451171875</v>
      </c>
      <c r="L28" s="114">
        <f t="shared" ref="L28:L47" si="6">K28*(24/$L$26)</f>
        <v>24.90234375</v>
      </c>
      <c r="M28" s="115">
        <f t="shared" ref="M28:M47" si="7">1.5*K28</f>
        <v>18.6767578125</v>
      </c>
      <c r="N28" s="120">
        <f>K28*86.4*$N$26</f>
        <v>161.3671875</v>
      </c>
      <c r="O28" s="121">
        <f t="shared" ref="O28:O47" si="8">K28*86.4*$O$26</f>
        <v>215.15625</v>
      </c>
      <c r="P28" s="118"/>
      <c r="Q28" s="119"/>
      <c r="R28" s="84"/>
      <c r="S28" s="84"/>
      <c r="T28" s="84"/>
      <c r="U28" s="84"/>
      <c r="V28" s="84"/>
      <c r="W28" s="84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 ht="14.25" x14ac:dyDescent="0.2">
      <c r="A29" s="105">
        <f t="shared" si="1"/>
        <v>2</v>
      </c>
      <c r="B29" s="106">
        <f t="shared" si="1"/>
        <v>2012</v>
      </c>
      <c r="C29" s="107">
        <f t="shared" ref="C29:C47" si="9">C28*(1+$D$18)</f>
        <v>3901.5</v>
      </c>
      <c r="D29" s="107">
        <f>C29/$D$8</f>
        <v>780.3</v>
      </c>
      <c r="E29" s="109">
        <f t="shared" si="2"/>
        <v>150</v>
      </c>
      <c r="F29" s="107">
        <f t="shared" si="3"/>
        <v>214192.35</v>
      </c>
      <c r="G29" s="110">
        <v>0.2</v>
      </c>
      <c r="H29" s="107">
        <f t="shared" si="0"/>
        <v>267740.4375</v>
      </c>
      <c r="I29" s="111">
        <v>1.5</v>
      </c>
      <c r="J29" s="112">
        <f t="shared" si="4"/>
        <v>8.466796875</v>
      </c>
      <c r="K29" s="113">
        <f t="shared" si="5"/>
        <v>12.7001953125</v>
      </c>
      <c r="L29" s="114">
        <f t="shared" si="6"/>
        <v>25.400390625</v>
      </c>
      <c r="M29" s="115">
        <f t="shared" si="7"/>
        <v>19.05029296875</v>
      </c>
      <c r="N29" s="120">
        <f t="shared" ref="N29:N47" si="10">K29*86.4*$N$26</f>
        <v>164.59453124999999</v>
      </c>
      <c r="O29" s="121">
        <f t="shared" si="8"/>
        <v>219.45937500000002</v>
      </c>
      <c r="P29" s="118"/>
      <c r="Q29" s="119"/>
      <c r="R29" s="84"/>
      <c r="S29" s="84"/>
      <c r="T29" s="84"/>
      <c r="U29" s="84"/>
      <c r="V29" s="84"/>
      <c r="W29" s="84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ht="14.25" x14ac:dyDescent="0.2">
      <c r="A30" s="105">
        <f t="shared" si="1"/>
        <v>3</v>
      </c>
      <c r="B30" s="106">
        <f t="shared" si="1"/>
        <v>2013</v>
      </c>
      <c r="C30" s="107">
        <f t="shared" si="9"/>
        <v>3979.53</v>
      </c>
      <c r="D30" s="107">
        <f t="shared" ref="D30:D47" si="11">C30/$D$8</f>
        <v>795.90600000000006</v>
      </c>
      <c r="E30" s="109">
        <f t="shared" si="2"/>
        <v>150</v>
      </c>
      <c r="F30" s="107">
        <f t="shared" si="3"/>
        <v>217879.26749999999</v>
      </c>
      <c r="G30" s="110">
        <v>0.2</v>
      </c>
      <c r="H30" s="107">
        <f t="shared" si="0"/>
        <v>272349.08437499998</v>
      </c>
      <c r="I30" s="111">
        <v>1.5</v>
      </c>
      <c r="J30" s="112">
        <f t="shared" si="4"/>
        <v>8.6361328124999996</v>
      </c>
      <c r="K30" s="113">
        <f t="shared" si="5"/>
        <v>12.954199218749999</v>
      </c>
      <c r="L30" s="114">
        <f t="shared" si="6"/>
        <v>25.908398437499997</v>
      </c>
      <c r="M30" s="115">
        <f t="shared" si="7"/>
        <v>19.431298828124998</v>
      </c>
      <c r="N30" s="120">
        <f t="shared" si="10"/>
        <v>167.88642187499997</v>
      </c>
      <c r="O30" s="121">
        <f t="shared" si="8"/>
        <v>223.84856249999999</v>
      </c>
      <c r="P30" s="118"/>
      <c r="Q30" s="119"/>
      <c r="R30" s="84"/>
      <c r="S30" s="84"/>
      <c r="T30" s="84"/>
      <c r="U30" s="84"/>
      <c r="V30" s="84"/>
      <c r="W30" s="84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 ht="14.25" x14ac:dyDescent="0.2">
      <c r="A31" s="105">
        <f t="shared" si="1"/>
        <v>4</v>
      </c>
      <c r="B31" s="106">
        <f t="shared" si="1"/>
        <v>2014</v>
      </c>
      <c r="C31" s="107">
        <f t="shared" si="9"/>
        <v>4059.1206000000002</v>
      </c>
      <c r="D31" s="107">
        <f t="shared" si="11"/>
        <v>811.82411999999999</v>
      </c>
      <c r="E31" s="109">
        <f t="shared" si="2"/>
        <v>150</v>
      </c>
      <c r="F31" s="107">
        <f t="shared" si="3"/>
        <v>222236.85285000002</v>
      </c>
      <c r="G31" s="110">
        <v>0.2</v>
      </c>
      <c r="H31" s="107">
        <f t="shared" si="0"/>
        <v>277796.0660625</v>
      </c>
      <c r="I31" s="111">
        <v>1.5</v>
      </c>
      <c r="J31" s="112">
        <f t="shared" si="4"/>
        <v>8.80885546875</v>
      </c>
      <c r="K31" s="113">
        <f t="shared" si="5"/>
        <v>13.213283203125</v>
      </c>
      <c r="L31" s="114">
        <f t="shared" si="6"/>
        <v>26.42656640625</v>
      </c>
      <c r="M31" s="115">
        <f t="shared" si="7"/>
        <v>19.819924804687499</v>
      </c>
      <c r="N31" s="120">
        <f t="shared" si="10"/>
        <v>171.24415031250001</v>
      </c>
      <c r="O31" s="121">
        <f t="shared" si="8"/>
        <v>228.32553375000003</v>
      </c>
      <c r="P31" s="118"/>
      <c r="Q31" s="119"/>
      <c r="R31" s="84"/>
      <c r="S31" s="84"/>
      <c r="T31" s="84"/>
      <c r="U31" s="84"/>
      <c r="V31" s="84"/>
      <c r="W31" s="84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 ht="14.25" x14ac:dyDescent="0.2">
      <c r="A32" s="105">
        <f t="shared" si="1"/>
        <v>5</v>
      </c>
      <c r="B32" s="106">
        <f t="shared" si="1"/>
        <v>2015</v>
      </c>
      <c r="C32" s="107">
        <f t="shared" si="9"/>
        <v>4140.3030120000003</v>
      </c>
      <c r="D32" s="107">
        <f t="shared" si="11"/>
        <v>828.06060240000011</v>
      </c>
      <c r="E32" s="109">
        <f t="shared" si="2"/>
        <v>150</v>
      </c>
      <c r="F32" s="107">
        <f t="shared" si="3"/>
        <v>226681.58990700002</v>
      </c>
      <c r="G32" s="110">
        <v>0.2</v>
      </c>
      <c r="H32" s="107">
        <f t="shared" si="0"/>
        <v>283351.98738374998</v>
      </c>
      <c r="I32" s="111">
        <v>1.5</v>
      </c>
      <c r="J32" s="112">
        <f t="shared" si="4"/>
        <v>8.9850325781249989</v>
      </c>
      <c r="K32" s="113">
        <f t="shared" si="5"/>
        <v>13.477548867187497</v>
      </c>
      <c r="L32" s="114">
        <f t="shared" si="6"/>
        <v>26.955097734374995</v>
      </c>
      <c r="M32" s="115">
        <f t="shared" si="7"/>
        <v>20.216323300781248</v>
      </c>
      <c r="N32" s="120">
        <f t="shared" si="10"/>
        <v>174.66903331874997</v>
      </c>
      <c r="O32" s="121">
        <f t="shared" si="8"/>
        <v>232.89204442499997</v>
      </c>
      <c r="P32" s="118"/>
      <c r="Q32" s="119"/>
      <c r="R32" s="84"/>
      <c r="S32" s="84"/>
      <c r="T32" s="84"/>
      <c r="U32" s="84"/>
      <c r="V32" s="84"/>
      <c r="W32" s="84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1:33" ht="14.25" x14ac:dyDescent="0.2">
      <c r="A33" s="105">
        <f t="shared" si="1"/>
        <v>6</v>
      </c>
      <c r="B33" s="106">
        <f t="shared" si="1"/>
        <v>2016</v>
      </c>
      <c r="C33" s="107">
        <f t="shared" si="9"/>
        <v>4223.1090722400004</v>
      </c>
      <c r="D33" s="107">
        <f t="shared" si="11"/>
        <v>844.62181444800012</v>
      </c>
      <c r="E33" s="109">
        <f t="shared" si="2"/>
        <v>150</v>
      </c>
      <c r="F33" s="107">
        <f t="shared" si="3"/>
        <v>231848.68806597602</v>
      </c>
      <c r="G33" s="110">
        <v>0.2</v>
      </c>
      <c r="H33" s="107">
        <f t="shared" si="0"/>
        <v>289810.86008247</v>
      </c>
      <c r="I33" s="111">
        <v>1.5</v>
      </c>
      <c r="J33" s="112">
        <f t="shared" si="4"/>
        <v>9.1647332296874993</v>
      </c>
      <c r="K33" s="113">
        <f t="shared" si="5"/>
        <v>13.747099844531249</v>
      </c>
      <c r="L33" s="114">
        <f t="shared" si="6"/>
        <v>27.494199689062498</v>
      </c>
      <c r="M33" s="115">
        <f t="shared" si="7"/>
        <v>20.620649766796873</v>
      </c>
      <c r="N33" s="120">
        <f t="shared" si="10"/>
        <v>178.162413985125</v>
      </c>
      <c r="O33" s="121">
        <f t="shared" si="8"/>
        <v>237.5498853135</v>
      </c>
      <c r="P33" s="118"/>
      <c r="Q33" s="119"/>
      <c r="R33" s="84"/>
      <c r="S33" s="84"/>
      <c r="T33" s="84"/>
      <c r="U33" s="84"/>
      <c r="V33" s="84"/>
      <c r="W33" s="84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 spans="1:33" ht="14.25" x14ac:dyDescent="0.2">
      <c r="A34" s="105">
        <f t="shared" si="1"/>
        <v>7</v>
      </c>
      <c r="B34" s="106">
        <f t="shared" si="1"/>
        <v>2017</v>
      </c>
      <c r="C34" s="107">
        <f t="shared" si="9"/>
        <v>4307.5712536848005</v>
      </c>
      <c r="D34" s="107">
        <f t="shared" si="11"/>
        <v>861.51425073696009</v>
      </c>
      <c r="E34" s="109">
        <f t="shared" si="2"/>
        <v>150</v>
      </c>
      <c r="F34" s="107">
        <f t="shared" si="3"/>
        <v>235839.52613924284</v>
      </c>
      <c r="G34" s="110">
        <v>0.2</v>
      </c>
      <c r="H34" s="107">
        <f t="shared" si="0"/>
        <v>294799.40767405351</v>
      </c>
      <c r="I34" s="111">
        <v>1.5</v>
      </c>
      <c r="J34" s="112">
        <f t="shared" si="4"/>
        <v>9.34802789428125</v>
      </c>
      <c r="K34" s="113">
        <f t="shared" si="5"/>
        <v>14.022041841421874</v>
      </c>
      <c r="L34" s="114">
        <f t="shared" si="6"/>
        <v>28.044083682843748</v>
      </c>
      <c r="M34" s="115">
        <f t="shared" si="7"/>
        <v>21.033062762132811</v>
      </c>
      <c r="N34" s="120">
        <f t="shared" si="10"/>
        <v>181.72566226482749</v>
      </c>
      <c r="O34" s="121">
        <f t="shared" si="8"/>
        <v>242.30088301977</v>
      </c>
      <c r="P34" s="118"/>
      <c r="Q34" s="119"/>
      <c r="R34" s="84"/>
      <c r="S34" s="84"/>
      <c r="T34" s="84"/>
      <c r="U34" s="84"/>
      <c r="V34" s="84"/>
      <c r="W34" s="84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 ht="14.25" x14ac:dyDescent="0.2">
      <c r="A35" s="105">
        <f t="shared" si="1"/>
        <v>8</v>
      </c>
      <c r="B35" s="106">
        <f t="shared" si="1"/>
        <v>2018</v>
      </c>
      <c r="C35" s="107">
        <f t="shared" si="9"/>
        <v>4393.7226787584968</v>
      </c>
      <c r="D35" s="107">
        <f t="shared" si="11"/>
        <v>878.74453575169935</v>
      </c>
      <c r="E35" s="109">
        <f t="shared" si="2"/>
        <v>150</v>
      </c>
      <c r="F35" s="107">
        <f t="shared" si="3"/>
        <v>240556.31666202768</v>
      </c>
      <c r="G35" s="110">
        <v>0.2</v>
      </c>
      <c r="H35" s="107">
        <f t="shared" si="0"/>
        <v>300695.39582753455</v>
      </c>
      <c r="I35" s="111">
        <v>1.5</v>
      </c>
      <c r="J35" s="112">
        <f t="shared" si="4"/>
        <v>9.5349884521668749</v>
      </c>
      <c r="K35" s="113">
        <f t="shared" si="5"/>
        <v>14.302482678250312</v>
      </c>
      <c r="L35" s="114">
        <f t="shared" si="6"/>
        <v>28.604965356500625</v>
      </c>
      <c r="M35" s="115">
        <f t="shared" si="7"/>
        <v>21.453724017375468</v>
      </c>
      <c r="N35" s="120">
        <f t="shared" si="10"/>
        <v>185.36017551012404</v>
      </c>
      <c r="O35" s="121">
        <f t="shared" si="8"/>
        <v>247.1469006801654</v>
      </c>
      <c r="P35" s="118"/>
      <c r="Q35" s="119"/>
      <c r="R35" s="84"/>
      <c r="S35" s="84"/>
      <c r="T35" s="84"/>
      <c r="U35" s="84"/>
      <c r="V35" s="84"/>
      <c r="W35" s="84"/>
      <c r="X35" s="53"/>
      <c r="Y35" s="53"/>
      <c r="Z35" s="53"/>
      <c r="AA35" s="53"/>
      <c r="AB35" s="53"/>
      <c r="AC35" s="53"/>
      <c r="AD35" s="53"/>
      <c r="AE35" s="53"/>
      <c r="AF35" s="53"/>
      <c r="AG35" s="53"/>
    </row>
    <row r="36" spans="1:33" ht="14.25" x14ac:dyDescent="0.2">
      <c r="A36" s="105">
        <f t="shared" si="1"/>
        <v>9</v>
      </c>
      <c r="B36" s="106">
        <f t="shared" si="1"/>
        <v>2019</v>
      </c>
      <c r="C36" s="107">
        <f t="shared" si="9"/>
        <v>4481.5971323336671</v>
      </c>
      <c r="D36" s="107">
        <f t="shared" si="11"/>
        <v>896.31942646673338</v>
      </c>
      <c r="E36" s="109">
        <f t="shared" si="2"/>
        <v>150</v>
      </c>
      <c r="F36" s="107">
        <f t="shared" si="3"/>
        <v>245367.44299526824</v>
      </c>
      <c r="G36" s="110">
        <v>0.2</v>
      </c>
      <c r="H36" s="107">
        <f t="shared" si="0"/>
        <v>306709.30374408531</v>
      </c>
      <c r="I36" s="111">
        <v>1.5</v>
      </c>
      <c r="J36" s="112">
        <f t="shared" si="4"/>
        <v>9.7256882212102127</v>
      </c>
      <c r="K36" s="113">
        <f t="shared" si="5"/>
        <v>14.588532331815319</v>
      </c>
      <c r="L36" s="114">
        <f t="shared" si="6"/>
        <v>29.177064663630638</v>
      </c>
      <c r="M36" s="115">
        <f t="shared" si="7"/>
        <v>21.88279849772298</v>
      </c>
      <c r="N36" s="120">
        <f t="shared" si="10"/>
        <v>189.06737902032657</v>
      </c>
      <c r="O36" s="121">
        <f t="shared" si="8"/>
        <v>252.08983869376877</v>
      </c>
      <c r="P36" s="118"/>
      <c r="Q36" s="119"/>
      <c r="R36" s="84"/>
      <c r="S36" s="84"/>
      <c r="T36" s="84"/>
      <c r="U36" s="84"/>
      <c r="V36" s="84"/>
      <c r="W36" s="84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1:33" ht="14.25" x14ac:dyDescent="0.2">
      <c r="A37" s="105">
        <f t="shared" si="1"/>
        <v>10</v>
      </c>
      <c r="B37" s="106">
        <f t="shared" si="1"/>
        <v>2020</v>
      </c>
      <c r="C37" s="107">
        <f>C36*(1+$D$18)+D16*D8</f>
        <v>4571.2290749803406</v>
      </c>
      <c r="D37" s="107">
        <f t="shared" si="11"/>
        <v>914.24581499606813</v>
      </c>
      <c r="E37" s="109">
        <f t="shared" si="2"/>
        <v>150</v>
      </c>
      <c r="F37" s="107">
        <f t="shared" si="3"/>
        <v>250960.47621642068</v>
      </c>
      <c r="G37" s="110">
        <v>0.2</v>
      </c>
      <c r="H37" s="107">
        <f t="shared" si="0"/>
        <v>313700.59527052584</v>
      </c>
      <c r="I37" s="111">
        <v>1.5</v>
      </c>
      <c r="J37" s="112">
        <f t="shared" si="4"/>
        <v>9.920201985634419</v>
      </c>
      <c r="K37" s="113">
        <f t="shared" si="5"/>
        <v>14.880302978451628</v>
      </c>
      <c r="L37" s="114">
        <f t="shared" si="6"/>
        <v>29.760605956903255</v>
      </c>
      <c r="M37" s="115">
        <f t="shared" si="7"/>
        <v>22.320454467677443</v>
      </c>
      <c r="N37" s="120">
        <f t="shared" si="10"/>
        <v>192.8487266007331</v>
      </c>
      <c r="O37" s="121">
        <f t="shared" si="8"/>
        <v>257.13163546764412</v>
      </c>
      <c r="P37" s="118"/>
      <c r="Q37" s="119"/>
      <c r="R37" s="84"/>
      <c r="S37" s="84"/>
      <c r="T37" s="84"/>
      <c r="U37" s="84"/>
      <c r="V37" s="84"/>
      <c r="W37" s="84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1:33" ht="14.25" x14ac:dyDescent="0.2">
      <c r="A38" s="105">
        <f t="shared" si="1"/>
        <v>11</v>
      </c>
      <c r="B38" s="106">
        <f t="shared" si="1"/>
        <v>2021</v>
      </c>
      <c r="C38" s="107">
        <f t="shared" si="9"/>
        <v>4662.6536564799471</v>
      </c>
      <c r="D38" s="107">
        <f t="shared" si="11"/>
        <v>932.53073129598943</v>
      </c>
      <c r="E38" s="109">
        <f t="shared" si="2"/>
        <v>150</v>
      </c>
      <c r="F38" s="107">
        <f t="shared" si="3"/>
        <v>255280.28769227711</v>
      </c>
      <c r="G38" s="110">
        <v>0.2</v>
      </c>
      <c r="H38" s="107">
        <f t="shared" si="0"/>
        <v>319100.35961534636</v>
      </c>
      <c r="I38" s="111">
        <v>1.5</v>
      </c>
      <c r="J38" s="112">
        <f t="shared" si="4"/>
        <v>10.118606025347107</v>
      </c>
      <c r="K38" s="113">
        <f t="shared" si="5"/>
        <v>15.177909038020662</v>
      </c>
      <c r="L38" s="114">
        <f t="shared" si="6"/>
        <v>30.355818076041324</v>
      </c>
      <c r="M38" s="115">
        <f t="shared" si="7"/>
        <v>22.766863557030995</v>
      </c>
      <c r="N38" s="120">
        <f t="shared" si="10"/>
        <v>196.70570113274781</v>
      </c>
      <c r="O38" s="121">
        <f t="shared" si="8"/>
        <v>262.27426817699705</v>
      </c>
      <c r="P38" s="118"/>
      <c r="Q38" s="119"/>
      <c r="R38" s="84"/>
      <c r="S38" s="84"/>
      <c r="T38" s="84"/>
      <c r="U38" s="84"/>
      <c r="V38" s="84"/>
      <c r="W38" s="84"/>
      <c r="X38" s="53"/>
      <c r="Y38" s="53"/>
      <c r="Z38" s="53"/>
      <c r="AA38" s="53"/>
      <c r="AB38" s="53"/>
      <c r="AC38" s="53"/>
      <c r="AD38" s="53"/>
      <c r="AE38" s="53"/>
      <c r="AF38" s="53"/>
      <c r="AG38" s="53"/>
    </row>
    <row r="39" spans="1:33" ht="14.25" x14ac:dyDescent="0.2">
      <c r="A39" s="105">
        <f t="shared" si="1"/>
        <v>12</v>
      </c>
      <c r="B39" s="106">
        <f t="shared" si="1"/>
        <v>2022</v>
      </c>
      <c r="C39" s="107">
        <f t="shared" si="9"/>
        <v>4755.9067296095463</v>
      </c>
      <c r="D39" s="107">
        <f t="shared" si="11"/>
        <v>951.18134592190927</v>
      </c>
      <c r="E39" s="109">
        <f t="shared" si="2"/>
        <v>150</v>
      </c>
      <c r="F39" s="107">
        <f t="shared" si="3"/>
        <v>260385.89344612267</v>
      </c>
      <c r="G39" s="110">
        <v>0.2</v>
      </c>
      <c r="H39" s="107">
        <f t="shared" si="0"/>
        <v>325482.36680765334</v>
      </c>
      <c r="I39" s="111">
        <v>1.5</v>
      </c>
      <c r="J39" s="112">
        <f t="shared" si="4"/>
        <v>10.320978145854051</v>
      </c>
      <c r="K39" s="113">
        <f t="shared" si="5"/>
        <v>15.481467218781077</v>
      </c>
      <c r="L39" s="114">
        <f t="shared" si="6"/>
        <v>30.962934437562154</v>
      </c>
      <c r="M39" s="115">
        <f t="shared" si="7"/>
        <v>23.222200828171616</v>
      </c>
      <c r="N39" s="120">
        <f t="shared" si="10"/>
        <v>200.63981515540277</v>
      </c>
      <c r="O39" s="121">
        <f t="shared" si="8"/>
        <v>267.51975354053701</v>
      </c>
      <c r="P39" s="118"/>
      <c r="Q39" s="119"/>
      <c r="R39" s="84"/>
      <c r="S39" s="84"/>
      <c r="T39" s="84"/>
      <c r="U39" s="84"/>
      <c r="V39" s="84"/>
      <c r="W39" s="84"/>
      <c r="X39" s="53"/>
      <c r="Y39" s="53"/>
      <c r="Z39" s="53"/>
      <c r="AA39" s="53"/>
      <c r="AB39" s="53"/>
      <c r="AC39" s="53"/>
      <c r="AD39" s="53"/>
      <c r="AE39" s="53"/>
      <c r="AF39" s="53"/>
      <c r="AG39" s="53"/>
    </row>
    <row r="40" spans="1:33" ht="14.25" x14ac:dyDescent="0.2">
      <c r="A40" s="105">
        <f t="shared" si="1"/>
        <v>13</v>
      </c>
      <c r="B40" s="106">
        <f t="shared" si="1"/>
        <v>2023</v>
      </c>
      <c r="C40" s="107">
        <f t="shared" si="9"/>
        <v>4851.0248642017377</v>
      </c>
      <c r="D40" s="107">
        <f t="shared" si="11"/>
        <v>970.20497284034752</v>
      </c>
      <c r="E40" s="109">
        <f t="shared" si="2"/>
        <v>150</v>
      </c>
      <c r="F40" s="107">
        <f t="shared" si="3"/>
        <v>265593.6113150451</v>
      </c>
      <c r="G40" s="110">
        <v>0.2</v>
      </c>
      <c r="H40" s="107">
        <f t="shared" si="0"/>
        <v>331992.01414380636</v>
      </c>
      <c r="I40" s="111">
        <v>1.5</v>
      </c>
      <c r="J40" s="112">
        <f t="shared" si="4"/>
        <v>10.527397708771129</v>
      </c>
      <c r="K40" s="113">
        <f t="shared" si="5"/>
        <v>15.791096563156694</v>
      </c>
      <c r="L40" s="114">
        <f t="shared" si="6"/>
        <v>31.582193126313388</v>
      </c>
      <c r="M40" s="115">
        <f t="shared" si="7"/>
        <v>23.686644844735042</v>
      </c>
      <c r="N40" s="120">
        <f t="shared" si="10"/>
        <v>204.65261145851079</v>
      </c>
      <c r="O40" s="121">
        <f t="shared" si="8"/>
        <v>272.8701486113477</v>
      </c>
      <c r="P40" s="118"/>
      <c r="Q40" s="119"/>
      <c r="R40" s="84"/>
      <c r="S40" s="84"/>
      <c r="T40" s="84"/>
      <c r="U40" s="84"/>
      <c r="V40" s="84"/>
      <c r="W40" s="84"/>
      <c r="X40" s="53"/>
      <c r="Y40" s="53"/>
      <c r="Z40" s="53"/>
      <c r="AA40" s="53"/>
      <c r="AB40" s="53"/>
      <c r="AC40" s="53"/>
      <c r="AD40" s="53"/>
      <c r="AE40" s="53"/>
      <c r="AF40" s="53"/>
      <c r="AG40" s="53"/>
    </row>
    <row r="41" spans="1:33" ht="14.25" x14ac:dyDescent="0.2">
      <c r="A41" s="105">
        <f t="shared" si="1"/>
        <v>14</v>
      </c>
      <c r="B41" s="106">
        <f t="shared" si="1"/>
        <v>2024</v>
      </c>
      <c r="C41" s="107">
        <f t="shared" si="9"/>
        <v>4948.0453614857724</v>
      </c>
      <c r="D41" s="107">
        <f t="shared" si="11"/>
        <v>989.60907229715451</v>
      </c>
      <c r="E41" s="109">
        <f t="shared" si="2"/>
        <v>150</v>
      </c>
      <c r="F41" s="107">
        <f t="shared" si="3"/>
        <v>271647.69034556887</v>
      </c>
      <c r="G41" s="110">
        <v>0.2</v>
      </c>
      <c r="H41" s="107">
        <f t="shared" si="0"/>
        <v>339559.61293196108</v>
      </c>
      <c r="I41" s="111">
        <v>1.5</v>
      </c>
      <c r="J41" s="112">
        <f t="shared" si="4"/>
        <v>10.737945662946554</v>
      </c>
      <c r="K41" s="113">
        <f t="shared" si="5"/>
        <v>16.10691849441983</v>
      </c>
      <c r="L41" s="114">
        <f t="shared" si="6"/>
        <v>32.21383698883966</v>
      </c>
      <c r="M41" s="115">
        <f t="shared" si="7"/>
        <v>24.160377741629745</v>
      </c>
      <c r="N41" s="120">
        <f t="shared" si="10"/>
        <v>208.745663687681</v>
      </c>
      <c r="O41" s="121">
        <f t="shared" si="8"/>
        <v>278.32755158357469</v>
      </c>
      <c r="P41" s="118"/>
      <c r="Q41" s="119"/>
      <c r="R41" s="84"/>
      <c r="S41" s="84"/>
      <c r="T41" s="84"/>
      <c r="U41" s="84"/>
      <c r="V41" s="84"/>
      <c r="W41" s="84"/>
      <c r="X41" s="53"/>
      <c r="Y41" s="53"/>
      <c r="Z41" s="53"/>
      <c r="AA41" s="53"/>
      <c r="AB41" s="53"/>
      <c r="AC41" s="53"/>
      <c r="AD41" s="53"/>
      <c r="AE41" s="53"/>
      <c r="AF41" s="53"/>
      <c r="AG41" s="53"/>
    </row>
    <row r="42" spans="1:33" ht="14.25" x14ac:dyDescent="0.2">
      <c r="A42" s="105">
        <f t="shared" si="1"/>
        <v>15</v>
      </c>
      <c r="B42" s="106">
        <f t="shared" si="1"/>
        <v>2025</v>
      </c>
      <c r="C42" s="107">
        <f t="shared" si="9"/>
        <v>5047.0062687154877</v>
      </c>
      <c r="D42" s="107">
        <f t="shared" si="11"/>
        <v>1009.4012537430975</v>
      </c>
      <c r="E42" s="109">
        <f t="shared" si="2"/>
        <v>150</v>
      </c>
      <c r="F42" s="107">
        <f t="shared" si="3"/>
        <v>276323.59321217291</v>
      </c>
      <c r="G42" s="110">
        <v>0.2</v>
      </c>
      <c r="H42" s="107">
        <f t="shared" si="0"/>
        <v>345404.49151521613</v>
      </c>
      <c r="I42" s="111">
        <v>1.5</v>
      </c>
      <c r="J42" s="112">
        <f t="shared" si="4"/>
        <v>10.952704576205484</v>
      </c>
      <c r="K42" s="113">
        <f t="shared" si="5"/>
        <v>16.429056864308226</v>
      </c>
      <c r="L42" s="114">
        <f t="shared" si="6"/>
        <v>32.858113728616452</v>
      </c>
      <c r="M42" s="115">
        <f t="shared" si="7"/>
        <v>24.643585296462341</v>
      </c>
      <c r="N42" s="120">
        <f t="shared" si="10"/>
        <v>212.92057696143462</v>
      </c>
      <c r="O42" s="121">
        <f t="shared" si="8"/>
        <v>283.8941026152462</v>
      </c>
      <c r="P42" s="118"/>
      <c r="Q42" s="119"/>
      <c r="R42" s="84"/>
      <c r="S42" s="84"/>
      <c r="T42" s="84"/>
      <c r="U42" s="84"/>
      <c r="V42" s="84"/>
      <c r="W42" s="84"/>
      <c r="X42" s="53"/>
      <c r="Y42" s="53"/>
      <c r="Z42" s="53"/>
      <c r="AA42" s="53"/>
      <c r="AB42" s="53"/>
      <c r="AC42" s="53"/>
      <c r="AD42" s="53"/>
      <c r="AE42" s="53"/>
      <c r="AF42" s="53"/>
      <c r="AG42" s="53"/>
    </row>
    <row r="43" spans="1:33" ht="14.25" x14ac:dyDescent="0.2">
      <c r="A43" s="105">
        <f t="shared" si="1"/>
        <v>16</v>
      </c>
      <c r="B43" s="106">
        <f t="shared" si="1"/>
        <v>2026</v>
      </c>
      <c r="C43" s="107">
        <f t="shared" si="9"/>
        <v>5147.9463940897976</v>
      </c>
      <c r="D43" s="107">
        <f t="shared" si="11"/>
        <v>1029.5892788179594</v>
      </c>
      <c r="E43" s="109">
        <f t="shared" si="2"/>
        <v>150</v>
      </c>
      <c r="F43" s="107">
        <f t="shared" si="3"/>
        <v>281850.06507641642</v>
      </c>
      <c r="G43" s="110">
        <v>0.2</v>
      </c>
      <c r="H43" s="107">
        <f t="shared" si="0"/>
        <v>352312.58134552051</v>
      </c>
      <c r="I43" s="111">
        <v>1.5</v>
      </c>
      <c r="J43" s="112">
        <f t="shared" si="4"/>
        <v>11.171758667729595</v>
      </c>
      <c r="K43" s="113">
        <f t="shared" si="5"/>
        <v>16.757638001594394</v>
      </c>
      <c r="L43" s="114">
        <f t="shared" si="6"/>
        <v>33.515276003188788</v>
      </c>
      <c r="M43" s="115">
        <f t="shared" si="7"/>
        <v>25.136457002391591</v>
      </c>
      <c r="N43" s="120">
        <f t="shared" si="10"/>
        <v>217.17898850066337</v>
      </c>
      <c r="O43" s="121">
        <f t="shared" si="8"/>
        <v>289.57198466755119</v>
      </c>
      <c r="P43" s="118"/>
      <c r="Q43" s="119"/>
      <c r="R43" s="84"/>
      <c r="S43" s="84"/>
      <c r="T43" s="84"/>
      <c r="U43" s="84"/>
      <c r="V43" s="84"/>
      <c r="W43" s="84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1:33" ht="14.25" x14ac:dyDescent="0.2">
      <c r="A44" s="105">
        <f t="shared" ref="A44:B47" si="12">A43+1</f>
        <v>17</v>
      </c>
      <c r="B44" s="106">
        <f t="shared" si="12"/>
        <v>2027</v>
      </c>
      <c r="C44" s="107">
        <f t="shared" si="9"/>
        <v>5250.9053219715934</v>
      </c>
      <c r="D44" s="107">
        <f t="shared" si="11"/>
        <v>1050.1810643943186</v>
      </c>
      <c r="E44" s="109">
        <f t="shared" si="2"/>
        <v>150</v>
      </c>
      <c r="F44" s="107">
        <f t="shared" si="3"/>
        <v>287487.06637794472</v>
      </c>
      <c r="G44" s="110">
        <v>0.2</v>
      </c>
      <c r="H44" s="107">
        <f t="shared" si="0"/>
        <v>359358.83297243086</v>
      </c>
      <c r="I44" s="111">
        <v>1.5</v>
      </c>
      <c r="J44" s="112">
        <f t="shared" si="4"/>
        <v>11.395193841084184</v>
      </c>
      <c r="K44" s="113">
        <f t="shared" si="5"/>
        <v>17.092790761626276</v>
      </c>
      <c r="L44" s="114">
        <f t="shared" si="6"/>
        <v>34.185581523252552</v>
      </c>
      <c r="M44" s="115">
        <f t="shared" si="7"/>
        <v>25.639186142439414</v>
      </c>
      <c r="N44" s="120">
        <f t="shared" si="10"/>
        <v>221.52256827067654</v>
      </c>
      <c r="O44" s="121">
        <f t="shared" si="8"/>
        <v>295.36342436090212</v>
      </c>
      <c r="P44" s="118"/>
      <c r="Q44" s="119"/>
      <c r="R44" s="84"/>
      <c r="S44" s="84"/>
      <c r="T44" s="84"/>
      <c r="U44" s="84"/>
      <c r="V44" s="84"/>
      <c r="W44" s="84"/>
      <c r="X44" s="53"/>
      <c r="Y44" s="53"/>
      <c r="Z44" s="53"/>
      <c r="AA44" s="53"/>
      <c r="AB44" s="53"/>
      <c r="AC44" s="53"/>
      <c r="AD44" s="53"/>
      <c r="AE44" s="53"/>
      <c r="AF44" s="53"/>
      <c r="AG44" s="53"/>
    </row>
    <row r="45" spans="1:33" ht="14.25" x14ac:dyDescent="0.2">
      <c r="A45" s="105">
        <f t="shared" si="12"/>
        <v>18</v>
      </c>
      <c r="B45" s="106">
        <f t="shared" si="12"/>
        <v>2028</v>
      </c>
      <c r="C45" s="107">
        <f t="shared" si="9"/>
        <v>5355.9234284110253</v>
      </c>
      <c r="D45" s="107">
        <f t="shared" si="11"/>
        <v>1071.1846856822051</v>
      </c>
      <c r="E45" s="109">
        <f t="shared" si="2"/>
        <v>150</v>
      </c>
      <c r="F45" s="107">
        <f t="shared" si="3"/>
        <v>294040.19621976529</v>
      </c>
      <c r="G45" s="110">
        <v>0.2</v>
      </c>
      <c r="H45" s="107">
        <f t="shared" si="0"/>
        <v>367550.24527470657</v>
      </c>
      <c r="I45" s="111">
        <v>1.5</v>
      </c>
      <c r="J45" s="112">
        <f t="shared" si="4"/>
        <v>11.623097717905871</v>
      </c>
      <c r="K45" s="113">
        <f t="shared" si="5"/>
        <v>17.434646576858807</v>
      </c>
      <c r="L45" s="114">
        <f t="shared" si="6"/>
        <v>34.869293153717614</v>
      </c>
      <c r="M45" s="115">
        <f t="shared" si="7"/>
        <v>26.151969865288208</v>
      </c>
      <c r="N45" s="120">
        <f t="shared" si="10"/>
        <v>225.95301963609015</v>
      </c>
      <c r="O45" s="121">
        <f t="shared" si="8"/>
        <v>301.27069284812018</v>
      </c>
      <c r="P45" s="118"/>
      <c r="Q45" s="119"/>
      <c r="R45" s="84"/>
      <c r="S45" s="84"/>
      <c r="T45" s="84"/>
      <c r="U45" s="84"/>
      <c r="V45" s="84"/>
      <c r="W45" s="84"/>
      <c r="X45" s="53"/>
      <c r="Y45" s="53"/>
      <c r="Z45" s="53"/>
      <c r="AA45" s="53"/>
      <c r="AB45" s="53"/>
      <c r="AC45" s="53"/>
      <c r="AD45" s="53"/>
      <c r="AE45" s="53"/>
      <c r="AF45" s="53"/>
      <c r="AG45" s="53"/>
    </row>
    <row r="46" spans="1:33" ht="14.25" x14ac:dyDescent="0.2">
      <c r="A46" s="105">
        <f t="shared" si="12"/>
        <v>19</v>
      </c>
      <c r="B46" s="106">
        <f t="shared" si="12"/>
        <v>2029</v>
      </c>
      <c r="C46" s="107">
        <f t="shared" si="9"/>
        <v>5463.0418969792463</v>
      </c>
      <c r="D46" s="107">
        <f t="shared" si="11"/>
        <v>1092.6083793958492</v>
      </c>
      <c r="E46" s="109">
        <f t="shared" si="2"/>
        <v>150</v>
      </c>
      <c r="F46" s="107">
        <f t="shared" si="3"/>
        <v>299101.54385961371</v>
      </c>
      <c r="G46" s="110">
        <v>0.2</v>
      </c>
      <c r="H46" s="107">
        <f t="shared" si="0"/>
        <v>373876.92982451711</v>
      </c>
      <c r="I46" s="111">
        <v>1.5</v>
      </c>
      <c r="J46" s="112">
        <f t="shared" si="4"/>
        <v>11.855559672263988</v>
      </c>
      <c r="K46" s="113">
        <f t="shared" si="5"/>
        <v>17.783339508395983</v>
      </c>
      <c r="L46" s="114">
        <f t="shared" si="6"/>
        <v>35.566679016791966</v>
      </c>
      <c r="M46" s="115">
        <f t="shared" si="7"/>
        <v>26.675009262593974</v>
      </c>
      <c r="N46" s="120">
        <f t="shared" si="10"/>
        <v>230.47208002881194</v>
      </c>
      <c r="O46" s="121">
        <f t="shared" si="8"/>
        <v>307.29610670508259</v>
      </c>
      <c r="P46" s="118"/>
      <c r="Q46" s="119"/>
      <c r="R46" s="84"/>
      <c r="S46" s="84"/>
      <c r="T46" s="84"/>
      <c r="U46" s="84"/>
      <c r="V46" s="84"/>
      <c r="W46" s="84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1:33" ht="14.25" x14ac:dyDescent="0.2">
      <c r="A47" s="105">
        <f t="shared" si="12"/>
        <v>20</v>
      </c>
      <c r="B47" s="106">
        <f t="shared" si="12"/>
        <v>2030</v>
      </c>
      <c r="C47" s="107">
        <f t="shared" si="9"/>
        <v>5572.3027349188314</v>
      </c>
      <c r="D47" s="107">
        <f t="shared" si="11"/>
        <v>1114.4605469837663</v>
      </c>
      <c r="E47" s="109">
        <f t="shared" si="2"/>
        <v>150</v>
      </c>
      <c r="F47" s="107">
        <f t="shared" si="3"/>
        <v>305083.57473680604</v>
      </c>
      <c r="G47" s="110">
        <v>0.2</v>
      </c>
      <c r="H47" s="107">
        <f t="shared" si="0"/>
        <v>381354.46842100751</v>
      </c>
      <c r="I47" s="111">
        <v>1.5</v>
      </c>
      <c r="J47" s="112">
        <f t="shared" si="4"/>
        <v>12.09267086570927</v>
      </c>
      <c r="K47" s="113">
        <f t="shared" si="5"/>
        <v>18.139006298563906</v>
      </c>
      <c r="L47" s="114">
        <f t="shared" si="6"/>
        <v>36.278012597127812</v>
      </c>
      <c r="M47" s="115">
        <f t="shared" si="7"/>
        <v>27.208509447845859</v>
      </c>
      <c r="N47" s="120">
        <f t="shared" si="10"/>
        <v>235.08152162938825</v>
      </c>
      <c r="O47" s="121">
        <f t="shared" si="8"/>
        <v>313.44202883918433</v>
      </c>
      <c r="P47" s="118"/>
      <c r="Q47" s="119"/>
      <c r="R47" s="84"/>
      <c r="S47" s="84"/>
      <c r="T47" s="84"/>
      <c r="U47" s="84"/>
      <c r="V47" s="84"/>
      <c r="W47" s="84"/>
      <c r="X47" s="53"/>
      <c r="Y47" s="53"/>
      <c r="Z47" s="53"/>
      <c r="AA47" s="53"/>
      <c r="AB47" s="53"/>
      <c r="AC47" s="53"/>
      <c r="AD47" s="53"/>
      <c r="AE47" s="53"/>
      <c r="AF47" s="53"/>
      <c r="AG47" s="53"/>
    </row>
    <row r="48" spans="1:33" ht="15" thickBot="1" x14ac:dyDescent="0.25">
      <c r="B48" s="122"/>
      <c r="C48" s="123"/>
      <c r="D48" s="123"/>
      <c r="E48" s="124"/>
      <c r="F48" s="123"/>
      <c r="G48" s="125"/>
      <c r="H48" s="123"/>
      <c r="I48" s="126"/>
      <c r="J48" s="126"/>
      <c r="K48" s="127"/>
      <c r="L48" s="128"/>
      <c r="M48" s="129"/>
      <c r="N48" s="130"/>
      <c r="O48" s="129"/>
      <c r="P48" s="84"/>
      <c r="Q48" s="84"/>
      <c r="R48" s="84"/>
      <c r="S48" s="84"/>
      <c r="T48" s="84"/>
      <c r="U48" s="84"/>
      <c r="V48" s="84"/>
      <c r="W48" s="84"/>
      <c r="X48" s="53"/>
      <c r="Y48" s="53"/>
      <c r="Z48" s="53"/>
      <c r="AA48" s="53"/>
      <c r="AB48" s="53"/>
      <c r="AC48" s="53"/>
      <c r="AD48" s="53"/>
      <c r="AE48" s="53"/>
      <c r="AF48" s="53"/>
      <c r="AG48" s="53"/>
    </row>
    <row r="49" spans="2:33" ht="14.25" x14ac:dyDescent="0.2">
      <c r="B49" s="53"/>
      <c r="C49" s="131"/>
      <c r="D49" s="131"/>
      <c r="E49" s="84"/>
      <c r="F49" s="131"/>
      <c r="G49" s="84"/>
      <c r="H49" s="131"/>
      <c r="I49" s="132"/>
      <c r="J49" s="132"/>
      <c r="K49" s="132"/>
      <c r="L49" s="132"/>
      <c r="M49" s="132"/>
      <c r="N49" s="132"/>
      <c r="O49" s="84"/>
      <c r="P49" s="84"/>
      <c r="S49" s="84"/>
      <c r="T49" s="84"/>
      <c r="U49" s="84"/>
      <c r="V49" s="84"/>
      <c r="W49" s="84"/>
      <c r="X49" s="53"/>
      <c r="Y49" s="53"/>
      <c r="Z49" s="53"/>
      <c r="AA49" s="53"/>
      <c r="AB49" s="53"/>
      <c r="AC49" s="53"/>
      <c r="AD49" s="53"/>
      <c r="AE49" s="53"/>
      <c r="AF49" s="53"/>
      <c r="AG49" s="53"/>
    </row>
    <row r="50" spans="2:33" x14ac:dyDescent="0.2">
      <c r="B50" s="133"/>
      <c r="C50" s="134"/>
      <c r="D50" s="135" t="s">
        <v>88</v>
      </c>
      <c r="E50" s="136">
        <f>D47-D27</f>
        <v>364.46054698376633</v>
      </c>
      <c r="F50" s="137"/>
      <c r="G50" s="105"/>
      <c r="L50" s="139"/>
      <c r="P50" s="105"/>
      <c r="S50" s="105"/>
      <c r="T50" s="105"/>
      <c r="U50" s="105"/>
      <c r="V50" s="105"/>
      <c r="W50" s="105"/>
    </row>
    <row r="51" spans="2:33" x14ac:dyDescent="0.2">
      <c r="B51" s="140"/>
      <c r="C51" s="141"/>
      <c r="D51" s="142"/>
      <c r="E51" s="141"/>
      <c r="F51" s="137"/>
      <c r="G51" s="105"/>
      <c r="L51" s="139"/>
      <c r="P51" s="105"/>
      <c r="S51" s="105"/>
      <c r="T51" s="105"/>
      <c r="U51" s="105"/>
      <c r="V51" s="105"/>
      <c r="W51" s="105"/>
    </row>
    <row r="52" spans="2:33" x14ac:dyDescent="0.2">
      <c r="B52" s="143"/>
      <c r="D52" s="144"/>
      <c r="E52" s="105"/>
      <c r="F52" s="137"/>
      <c r="G52" s="105"/>
      <c r="L52" s="145"/>
      <c r="P52" s="105"/>
      <c r="S52" s="105"/>
      <c r="T52" s="105"/>
      <c r="U52" s="105"/>
      <c r="V52" s="105"/>
      <c r="W52" s="105"/>
    </row>
    <row r="53" spans="2:33" ht="6" customHeight="1" x14ac:dyDescent="0.2">
      <c r="D53" s="144"/>
      <c r="E53" s="105"/>
      <c r="F53" s="137"/>
      <c r="G53" s="105"/>
      <c r="L53" s="145"/>
      <c r="P53" s="105"/>
      <c r="S53" s="105"/>
      <c r="T53" s="105"/>
      <c r="U53" s="105"/>
      <c r="V53" s="105"/>
      <c r="W53" s="105"/>
    </row>
  </sheetData>
  <mergeCells count="6">
    <mergeCell ref="B1:L1"/>
    <mergeCell ref="N24:O24"/>
    <mergeCell ref="J25:J26"/>
    <mergeCell ref="K25:K26"/>
    <mergeCell ref="M25:M26"/>
    <mergeCell ref="N25:O25"/>
  </mergeCells>
  <printOptions horizontalCentered="1" verticalCentered="1"/>
  <pageMargins left="0.55118110236220474" right="0.51181102362204722" top="0.47244094488188981" bottom="0.59055118110236227" header="0" footer="0"/>
  <pageSetup scale="69" orientation="landscape" horizontalDpi="1200" verticalDpi="12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80" zoomScaleNormal="80" workbookViewId="0">
      <selection activeCell="F30" sqref="F30"/>
    </sheetView>
  </sheetViews>
  <sheetFormatPr baseColWidth="10" defaultRowHeight="15" x14ac:dyDescent="0.25"/>
  <sheetData>
    <row r="1" spans="1:16" x14ac:dyDescent="0.25">
      <c r="C1" t="s">
        <v>2</v>
      </c>
      <c r="D1" s="2">
        <v>15</v>
      </c>
    </row>
    <row r="2" spans="1:16" x14ac:dyDescent="0.25">
      <c r="C2" t="s">
        <v>1</v>
      </c>
      <c r="D2" s="16">
        <v>17</v>
      </c>
      <c r="E2">
        <f>6*1.25</f>
        <v>7.5</v>
      </c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45" x14ac:dyDescent="0.25">
      <c r="A5" s="3" t="s">
        <v>24</v>
      </c>
      <c r="B5" s="7" t="s">
        <v>6</v>
      </c>
      <c r="C5" s="7" t="s">
        <v>15</v>
      </c>
      <c r="D5" s="37" t="s">
        <v>34</v>
      </c>
      <c r="E5" s="38" t="s">
        <v>35</v>
      </c>
      <c r="F5" s="3"/>
      <c r="G5" s="3"/>
      <c r="H5" s="3"/>
      <c r="I5" s="3"/>
      <c r="J5" s="3"/>
      <c r="K5" s="3"/>
      <c r="L5" s="3"/>
      <c r="M5" s="3"/>
      <c r="N5" s="3"/>
    </row>
    <row r="6" spans="1:16" ht="23.25" x14ac:dyDescent="0.35">
      <c r="A6" s="17">
        <f>D6-E6</f>
        <v>-11.156250000000002</v>
      </c>
      <c r="B6" s="18">
        <v>0</v>
      </c>
      <c r="C6" s="5">
        <v>0.3</v>
      </c>
      <c r="D6" s="6">
        <f>C6*$D$2</f>
        <v>5.0999999999999996</v>
      </c>
      <c r="E6" s="6">
        <f>D31</f>
        <v>16.256250000000001</v>
      </c>
      <c r="F6" s="13" t="s">
        <v>21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7">
        <f t="shared" ref="A7:A29" si="0">D7-E7</f>
        <v>-12.856250000000001</v>
      </c>
      <c r="B7" s="18">
        <v>1</v>
      </c>
      <c r="C7" s="5">
        <v>0.2</v>
      </c>
      <c r="D7" s="6">
        <f t="shared" ref="D7:D29" si="1">C7*$D$2</f>
        <v>3.4000000000000004</v>
      </c>
      <c r="E7" s="6">
        <f>E6</f>
        <v>16.256250000000001</v>
      </c>
      <c r="F7" s="4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7">
        <f t="shared" si="0"/>
        <v>-14.556250000000002</v>
      </c>
      <c r="B8" s="18">
        <v>2</v>
      </c>
      <c r="C8" s="5">
        <v>0.1</v>
      </c>
      <c r="D8" s="6">
        <f t="shared" si="1"/>
        <v>1.7000000000000002</v>
      </c>
      <c r="E8" s="6">
        <f t="shared" ref="E8:E29" si="2">E7</f>
        <v>16.256250000000001</v>
      </c>
      <c r="F8" s="4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17">
        <f t="shared" si="0"/>
        <v>-14.556250000000002</v>
      </c>
      <c r="B9" s="18">
        <v>3</v>
      </c>
      <c r="C9" s="5">
        <v>0.1</v>
      </c>
      <c r="D9" s="6">
        <f t="shared" si="1"/>
        <v>1.7000000000000002</v>
      </c>
      <c r="E9" s="6">
        <f t="shared" si="2"/>
        <v>16.256250000000001</v>
      </c>
      <c r="F9" s="4"/>
      <c r="G9" s="3"/>
      <c r="H9" s="3" t="s">
        <v>25</v>
      </c>
      <c r="I9" s="3">
        <f>6.3+19.2</f>
        <v>25.5</v>
      </c>
      <c r="J9" s="3" t="s">
        <v>0</v>
      </c>
      <c r="K9" s="3"/>
      <c r="L9" s="3"/>
      <c r="M9" s="3"/>
      <c r="N9" s="3"/>
      <c r="O9" s="3"/>
      <c r="P9" s="3"/>
    </row>
    <row r="10" spans="1:16" x14ac:dyDescent="0.25">
      <c r="A10" s="17">
        <f t="shared" si="0"/>
        <v>-11.156250000000002</v>
      </c>
      <c r="B10" s="18">
        <v>4</v>
      </c>
      <c r="C10" s="5">
        <v>0.3</v>
      </c>
      <c r="D10" s="6">
        <f t="shared" si="1"/>
        <v>5.0999999999999996</v>
      </c>
      <c r="E10" s="6">
        <f t="shared" si="2"/>
        <v>16.256250000000001</v>
      </c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17">
        <f t="shared" si="0"/>
        <v>-7.7562500000000014</v>
      </c>
      <c r="B11" s="18">
        <v>5</v>
      </c>
      <c r="C11" s="5">
        <v>0.5</v>
      </c>
      <c r="D11" s="6">
        <f t="shared" si="1"/>
        <v>8.5</v>
      </c>
      <c r="E11" s="6">
        <f t="shared" si="2"/>
        <v>16.256250000000001</v>
      </c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17">
        <f t="shared" si="0"/>
        <v>-0.95625000000000071</v>
      </c>
      <c r="B12" s="18">
        <v>6</v>
      </c>
      <c r="C12" s="5">
        <v>0.9</v>
      </c>
      <c r="D12" s="6">
        <f t="shared" si="1"/>
        <v>15.3</v>
      </c>
      <c r="E12" s="6">
        <f t="shared" si="2"/>
        <v>16.256250000000001</v>
      </c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17">
        <f t="shared" si="0"/>
        <v>9.2437499999999986</v>
      </c>
      <c r="B13" s="18">
        <v>7</v>
      </c>
      <c r="C13" s="5">
        <v>1.5</v>
      </c>
      <c r="D13" s="6">
        <f t="shared" si="1"/>
        <v>25.5</v>
      </c>
      <c r="E13" s="6">
        <f t="shared" si="2"/>
        <v>16.256250000000001</v>
      </c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17">
        <f t="shared" si="0"/>
        <v>10.943750000000001</v>
      </c>
      <c r="B14" s="18">
        <v>8</v>
      </c>
      <c r="C14" s="5">
        <v>1.6</v>
      </c>
      <c r="D14" s="6">
        <f t="shared" si="1"/>
        <v>27.200000000000003</v>
      </c>
      <c r="E14" s="6">
        <f t="shared" si="2"/>
        <v>16.256250000000001</v>
      </c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17">
        <f t="shared" si="0"/>
        <v>9.2437499999999986</v>
      </c>
      <c r="B15" s="18">
        <v>9</v>
      </c>
      <c r="C15" s="5">
        <v>1.5</v>
      </c>
      <c r="D15" s="6">
        <f t="shared" si="1"/>
        <v>25.5</v>
      </c>
      <c r="E15" s="6">
        <f t="shared" si="2"/>
        <v>16.256250000000001</v>
      </c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17">
        <f t="shared" si="0"/>
        <v>8.3937499999999972</v>
      </c>
      <c r="B16" s="18">
        <v>10</v>
      </c>
      <c r="C16" s="5">
        <v>1.45</v>
      </c>
      <c r="D16" s="6">
        <f t="shared" si="1"/>
        <v>24.65</v>
      </c>
      <c r="E16" s="6">
        <f t="shared" si="2"/>
        <v>16.256250000000001</v>
      </c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7">
        <f t="shared" si="0"/>
        <v>6.6937500000000014</v>
      </c>
      <c r="B17" s="18">
        <v>11</v>
      </c>
      <c r="C17" s="5">
        <v>1.35</v>
      </c>
      <c r="D17" s="6">
        <f t="shared" si="1"/>
        <v>22.950000000000003</v>
      </c>
      <c r="E17" s="6">
        <f t="shared" si="2"/>
        <v>16.256250000000001</v>
      </c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17">
        <f t="shared" si="0"/>
        <v>7.5437499999999957</v>
      </c>
      <c r="B18" s="18">
        <v>12</v>
      </c>
      <c r="C18" s="5">
        <v>1.4</v>
      </c>
      <c r="D18" s="6">
        <f t="shared" si="1"/>
        <v>23.799999999999997</v>
      </c>
      <c r="E18" s="6">
        <f t="shared" si="2"/>
        <v>16.256250000000001</v>
      </c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17">
        <f t="shared" si="0"/>
        <v>7.5437499999999957</v>
      </c>
      <c r="B19" s="18">
        <v>13</v>
      </c>
      <c r="C19" s="5">
        <v>1.4</v>
      </c>
      <c r="D19" s="6">
        <f t="shared" si="1"/>
        <v>23.799999999999997</v>
      </c>
      <c r="E19" s="6">
        <f t="shared" si="2"/>
        <v>16.256250000000001</v>
      </c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17">
        <f t="shared" si="0"/>
        <v>5.84375</v>
      </c>
      <c r="B20" s="18">
        <v>14</v>
      </c>
      <c r="C20" s="5">
        <v>1.3</v>
      </c>
      <c r="D20" s="6">
        <f t="shared" si="1"/>
        <v>22.1</v>
      </c>
      <c r="E20" s="6">
        <f t="shared" si="2"/>
        <v>16.256250000000001</v>
      </c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17">
        <f t="shared" si="0"/>
        <v>2.4437500000000014</v>
      </c>
      <c r="B21" s="18">
        <v>15</v>
      </c>
      <c r="C21" s="5">
        <v>1.1000000000000001</v>
      </c>
      <c r="D21" s="6">
        <f t="shared" si="1"/>
        <v>18.700000000000003</v>
      </c>
      <c r="E21" s="6">
        <f t="shared" si="2"/>
        <v>16.256250000000001</v>
      </c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7">
        <f t="shared" si="0"/>
        <v>0.74374999999999858</v>
      </c>
      <c r="B22" s="18">
        <v>16</v>
      </c>
      <c r="C22" s="5">
        <v>1</v>
      </c>
      <c r="D22" s="6">
        <f t="shared" si="1"/>
        <v>17</v>
      </c>
      <c r="E22" s="6">
        <f t="shared" si="2"/>
        <v>16.256250000000001</v>
      </c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7">
        <f t="shared" si="0"/>
        <v>-0.95625000000000071</v>
      </c>
      <c r="B23" s="18">
        <v>17</v>
      </c>
      <c r="C23" s="5">
        <v>0.9</v>
      </c>
      <c r="D23" s="6">
        <f t="shared" si="1"/>
        <v>15.3</v>
      </c>
      <c r="E23" s="6">
        <f t="shared" si="2"/>
        <v>16.256250000000001</v>
      </c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17">
        <f t="shared" si="0"/>
        <v>0.74374999999999858</v>
      </c>
      <c r="B24" s="18">
        <v>18</v>
      </c>
      <c r="C24" s="5">
        <v>1</v>
      </c>
      <c r="D24" s="6">
        <f t="shared" si="1"/>
        <v>17</v>
      </c>
      <c r="E24" s="6">
        <f t="shared" si="2"/>
        <v>16.256250000000001</v>
      </c>
      <c r="F24" s="4"/>
      <c r="G24" s="3"/>
      <c r="H24" s="3"/>
      <c r="I24" s="3"/>
      <c r="J24" s="3"/>
      <c r="K24" s="3"/>
      <c r="L24" s="3"/>
      <c r="M24" s="3"/>
      <c r="N24" s="3"/>
    </row>
    <row r="25" spans="1:16" x14ac:dyDescent="0.25">
      <c r="A25" s="17">
        <f t="shared" si="0"/>
        <v>4.1437499999999972</v>
      </c>
      <c r="B25" s="18">
        <v>19</v>
      </c>
      <c r="C25" s="5">
        <v>1.2</v>
      </c>
      <c r="D25" s="6">
        <f t="shared" si="1"/>
        <v>20.399999999999999</v>
      </c>
      <c r="E25" s="6">
        <f t="shared" si="2"/>
        <v>16.256250000000001</v>
      </c>
      <c r="F25" s="4"/>
      <c r="G25" s="3"/>
      <c r="H25" s="3"/>
      <c r="I25" s="3">
        <f>90/3.6</f>
        <v>25</v>
      </c>
      <c r="J25" s="3"/>
      <c r="K25" s="3"/>
      <c r="L25" s="3"/>
      <c r="M25" s="3"/>
      <c r="N25" s="3"/>
    </row>
    <row r="26" spans="1:16" x14ac:dyDescent="0.25">
      <c r="A26" s="17">
        <f t="shared" si="0"/>
        <v>4.9937499999999986</v>
      </c>
      <c r="B26" s="18">
        <v>20</v>
      </c>
      <c r="C26" s="5">
        <v>1.25</v>
      </c>
      <c r="D26" s="6">
        <f t="shared" si="1"/>
        <v>21.25</v>
      </c>
      <c r="E26" s="6">
        <f t="shared" si="2"/>
        <v>16.256250000000001</v>
      </c>
      <c r="F26" s="4"/>
      <c r="G26" s="3"/>
      <c r="H26" s="3"/>
      <c r="I26" s="3"/>
      <c r="J26" s="3"/>
      <c r="K26" s="3"/>
      <c r="L26" s="3"/>
      <c r="M26" s="3"/>
      <c r="N26" s="3"/>
    </row>
    <row r="27" spans="1:16" x14ac:dyDescent="0.25">
      <c r="A27" s="17">
        <f t="shared" si="0"/>
        <v>4.1437499999999972</v>
      </c>
      <c r="B27" s="18">
        <v>21</v>
      </c>
      <c r="C27" s="5">
        <v>1.2</v>
      </c>
      <c r="D27" s="6">
        <f t="shared" si="1"/>
        <v>20.399999999999999</v>
      </c>
      <c r="E27" s="6">
        <f t="shared" si="2"/>
        <v>16.256250000000001</v>
      </c>
      <c r="F27" s="4"/>
      <c r="G27" s="3"/>
      <c r="H27" s="3"/>
      <c r="I27" s="3"/>
      <c r="J27" s="3"/>
      <c r="K27" s="3"/>
      <c r="L27" s="3"/>
      <c r="M27" s="3"/>
      <c r="N27" s="3"/>
    </row>
    <row r="28" spans="1:16" x14ac:dyDescent="0.25">
      <c r="A28" s="17">
        <f t="shared" si="0"/>
        <v>-0.95625000000000071</v>
      </c>
      <c r="B28" s="18">
        <v>22</v>
      </c>
      <c r="C28" s="5">
        <v>0.9</v>
      </c>
      <c r="D28" s="6">
        <f t="shared" si="1"/>
        <v>15.3</v>
      </c>
      <c r="E28" s="6">
        <f t="shared" si="2"/>
        <v>16.256250000000001</v>
      </c>
      <c r="F28" s="4"/>
      <c r="G28" s="3"/>
      <c r="H28" s="3"/>
      <c r="I28" s="3"/>
      <c r="J28" s="3"/>
      <c r="K28" s="3"/>
      <c r="L28" s="3"/>
      <c r="M28" s="3"/>
      <c r="N28" s="3"/>
    </row>
    <row r="29" spans="1:16" x14ac:dyDescent="0.25">
      <c r="A29" s="17">
        <f t="shared" si="0"/>
        <v>-7.7562500000000014</v>
      </c>
      <c r="B29" s="18">
        <v>23</v>
      </c>
      <c r="C29" s="5">
        <v>0.5</v>
      </c>
      <c r="D29" s="6">
        <f t="shared" si="1"/>
        <v>8.5</v>
      </c>
      <c r="E29" s="6">
        <f t="shared" si="2"/>
        <v>16.256250000000001</v>
      </c>
      <c r="F29" s="4"/>
      <c r="G29" s="3"/>
      <c r="H29" s="3"/>
      <c r="I29" s="3"/>
      <c r="J29" s="3"/>
      <c r="K29" s="3"/>
      <c r="L29" s="3"/>
      <c r="M29" s="3"/>
      <c r="N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6" x14ac:dyDescent="0.25">
      <c r="C31" t="s">
        <v>36</v>
      </c>
      <c r="D31" s="1">
        <f>AVERAGE(D6:D29)</f>
        <v>16.256250000000001</v>
      </c>
      <c r="F31" s="1"/>
    </row>
    <row r="32" spans="1:16" x14ac:dyDescent="0.25">
      <c r="D32" s="2" t="s">
        <v>37</v>
      </c>
      <c r="E32" s="1">
        <f>MAX(D6:D29)</f>
        <v>27.200000000000003</v>
      </c>
    </row>
    <row r="33" spans="1:16" x14ac:dyDescent="0.25">
      <c r="D33" s="2" t="s">
        <v>38</v>
      </c>
      <c r="E33" s="1">
        <f>MIN(D6:D29)</f>
        <v>1.7000000000000002</v>
      </c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6" x14ac:dyDescent="0.25">
      <c r="A36" s="3"/>
      <c r="B36" s="7" t="s">
        <v>6</v>
      </c>
      <c r="C36" s="7" t="s">
        <v>15</v>
      </c>
      <c r="D36" s="7" t="s">
        <v>1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6" ht="23.25" x14ac:dyDescent="0.35">
      <c r="A37" s="3"/>
      <c r="B37" s="3">
        <v>0</v>
      </c>
      <c r="C37" s="8">
        <v>0.3</v>
      </c>
      <c r="D37" s="4">
        <f>C37*$D$2</f>
        <v>5.0999999999999996</v>
      </c>
      <c r="E37" s="3"/>
      <c r="F37" s="13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>
        <v>1</v>
      </c>
      <c r="C38" s="8">
        <v>0.2</v>
      </c>
      <c r="D38" s="4">
        <f t="shared" ref="D38:D60" si="3">C38*$D$2</f>
        <v>3.4000000000000004</v>
      </c>
      <c r="E38" s="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>
        <v>2</v>
      </c>
      <c r="C39" s="8">
        <v>0.1</v>
      </c>
      <c r="D39" s="4">
        <f t="shared" si="3"/>
        <v>1.7000000000000002</v>
      </c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>
        <v>3</v>
      </c>
      <c r="C40" s="8">
        <v>0.1</v>
      </c>
      <c r="D40" s="4">
        <f t="shared" si="3"/>
        <v>1.7000000000000002</v>
      </c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>
        <v>4</v>
      </c>
      <c r="C41" s="8">
        <v>0.3</v>
      </c>
      <c r="D41" s="4">
        <f t="shared" si="3"/>
        <v>5.0999999999999996</v>
      </c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>
        <v>5</v>
      </c>
      <c r="C42" s="8">
        <v>0.5</v>
      </c>
      <c r="D42" s="4">
        <f t="shared" si="3"/>
        <v>8.5</v>
      </c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>
        <v>6</v>
      </c>
      <c r="C43" s="8">
        <v>0.9</v>
      </c>
      <c r="D43" s="4">
        <f t="shared" si="3"/>
        <v>15.3</v>
      </c>
      <c r="E43" s="3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>
        <v>7</v>
      </c>
      <c r="C44" s="8">
        <v>1.5</v>
      </c>
      <c r="D44" s="4">
        <f t="shared" si="3"/>
        <v>25.5</v>
      </c>
      <c r="E44" s="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>
        <v>8</v>
      </c>
      <c r="C45" s="9">
        <v>1.6</v>
      </c>
      <c r="D45" s="4">
        <f t="shared" si="3"/>
        <v>27.200000000000003</v>
      </c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>
        <v>9</v>
      </c>
      <c r="C46" s="8">
        <v>1.5</v>
      </c>
      <c r="D46" s="4">
        <f t="shared" si="3"/>
        <v>25.5</v>
      </c>
      <c r="E46" s="3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>
        <v>10</v>
      </c>
      <c r="C47" s="8">
        <v>1.45</v>
      </c>
      <c r="D47" s="4">
        <f t="shared" si="3"/>
        <v>24.65</v>
      </c>
      <c r="E47" s="3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>
        <v>11</v>
      </c>
      <c r="C48" s="8">
        <v>1.35</v>
      </c>
      <c r="D48" s="4">
        <f t="shared" si="3"/>
        <v>22.950000000000003</v>
      </c>
      <c r="E48" s="3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>
        <v>12</v>
      </c>
      <c r="C49" s="8">
        <v>1.4</v>
      </c>
      <c r="D49" s="4">
        <f t="shared" si="3"/>
        <v>23.799999999999997</v>
      </c>
      <c r="E49" s="3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>
        <v>13</v>
      </c>
      <c r="C50" s="8">
        <v>1.4</v>
      </c>
      <c r="D50" s="4">
        <f t="shared" si="3"/>
        <v>23.799999999999997</v>
      </c>
      <c r="E50" s="3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>
        <v>14</v>
      </c>
      <c r="C51" s="8">
        <v>1.3</v>
      </c>
      <c r="D51" s="4">
        <f t="shared" si="3"/>
        <v>22.1</v>
      </c>
      <c r="E51" s="3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>
        <v>15</v>
      </c>
      <c r="C52" s="8">
        <v>1.1000000000000001</v>
      </c>
      <c r="D52" s="4">
        <f t="shared" si="3"/>
        <v>18.700000000000003</v>
      </c>
      <c r="E52" s="3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>
        <v>16</v>
      </c>
      <c r="C53" s="8">
        <v>1</v>
      </c>
      <c r="D53" s="4">
        <f t="shared" si="3"/>
        <v>17</v>
      </c>
      <c r="E53" s="3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>
        <v>17</v>
      </c>
      <c r="C54" s="8">
        <v>0.9</v>
      </c>
      <c r="D54" s="4">
        <f t="shared" si="3"/>
        <v>15.3</v>
      </c>
      <c r="E54" s="3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>
        <v>18</v>
      </c>
      <c r="C55" s="8">
        <v>1</v>
      </c>
      <c r="D55" s="4">
        <f t="shared" si="3"/>
        <v>17</v>
      </c>
      <c r="E55" s="3"/>
      <c r="F55" s="4"/>
      <c r="G55" s="3"/>
      <c r="H55" s="3"/>
      <c r="I55" s="3"/>
      <c r="J55" s="3"/>
      <c r="K55" s="3"/>
      <c r="L55" s="3"/>
      <c r="M55" s="3"/>
      <c r="N55" s="3"/>
    </row>
    <row r="56" spans="1:16" x14ac:dyDescent="0.25">
      <c r="A56" s="3"/>
      <c r="B56" s="3">
        <v>19</v>
      </c>
      <c r="C56" s="8">
        <v>1.2</v>
      </c>
      <c r="D56" s="4">
        <f t="shared" si="3"/>
        <v>20.399999999999999</v>
      </c>
      <c r="E56" s="3"/>
      <c r="F56" s="4"/>
      <c r="G56" s="3"/>
      <c r="H56" s="3"/>
      <c r="I56" s="3">
        <f>90/3.6</f>
        <v>25</v>
      </c>
      <c r="J56" s="3"/>
      <c r="K56" s="3"/>
      <c r="L56" s="3"/>
      <c r="M56" s="3"/>
      <c r="N56" s="3"/>
    </row>
    <row r="57" spans="1:16" x14ac:dyDescent="0.25">
      <c r="A57" s="3"/>
      <c r="B57" s="3">
        <v>20</v>
      </c>
      <c r="C57" s="8">
        <v>1.25</v>
      </c>
      <c r="D57" s="4">
        <f t="shared" si="3"/>
        <v>21.25</v>
      </c>
      <c r="E57" s="3"/>
      <c r="F57" s="4"/>
      <c r="G57" s="3"/>
      <c r="H57" s="3"/>
      <c r="I57" s="3"/>
      <c r="J57" s="3"/>
      <c r="K57" s="3"/>
      <c r="L57" s="3"/>
      <c r="M57" s="3"/>
      <c r="N57" s="3"/>
    </row>
    <row r="58" spans="1:16" x14ac:dyDescent="0.25">
      <c r="A58" s="3"/>
      <c r="B58" s="3">
        <v>21</v>
      </c>
      <c r="C58" s="8">
        <v>1.2</v>
      </c>
      <c r="D58" s="4">
        <f t="shared" si="3"/>
        <v>20.399999999999999</v>
      </c>
      <c r="E58" s="3"/>
      <c r="F58" s="4"/>
      <c r="G58" s="3"/>
      <c r="H58" s="3"/>
      <c r="I58" s="3"/>
      <c r="J58" s="3"/>
      <c r="K58" s="3"/>
      <c r="L58" s="3"/>
      <c r="M58" s="3"/>
      <c r="N58" s="3"/>
    </row>
    <row r="59" spans="1:16" x14ac:dyDescent="0.25">
      <c r="A59" s="3"/>
      <c r="B59" s="3">
        <v>22</v>
      </c>
      <c r="C59" s="8">
        <v>0.9</v>
      </c>
      <c r="D59" s="4">
        <f t="shared" si="3"/>
        <v>15.3</v>
      </c>
      <c r="E59" s="3"/>
      <c r="F59" s="4"/>
      <c r="G59" s="3"/>
      <c r="H59" s="3"/>
      <c r="I59" s="3"/>
      <c r="J59" s="3"/>
      <c r="K59" s="3"/>
      <c r="L59" s="3"/>
      <c r="M59" s="3"/>
      <c r="N59" s="3"/>
    </row>
    <row r="60" spans="1:16" x14ac:dyDescent="0.25">
      <c r="A60" s="3"/>
      <c r="B60" s="3">
        <v>23</v>
      </c>
      <c r="C60" s="8">
        <v>0.5</v>
      </c>
      <c r="D60" s="4">
        <f t="shared" si="3"/>
        <v>8.5</v>
      </c>
      <c r="E60" s="3"/>
      <c r="F60" s="4"/>
      <c r="G60" s="3"/>
      <c r="H60" s="3"/>
      <c r="I60" s="3"/>
      <c r="J60" s="3"/>
      <c r="K60" s="3"/>
      <c r="L60" s="3"/>
      <c r="M60" s="3"/>
      <c r="N60" s="3"/>
    </row>
    <row r="61" spans="1:16" x14ac:dyDescent="0.25">
      <c r="A61" s="3"/>
      <c r="B61" s="3"/>
      <c r="C61" s="3"/>
      <c r="D61" s="4">
        <f>AVERAGE(D37:D60)</f>
        <v>16.256250000000001</v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4" spans="1:16" x14ac:dyDescent="0.25">
      <c r="M64" s="15"/>
    </row>
    <row r="65" spans="13:13" x14ac:dyDescent="0.25">
      <c r="M65" s="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3" zoomScale="70" zoomScaleNormal="70" workbookViewId="0">
      <selection activeCell="T24" sqref="T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SimulaEST1</vt:lpstr>
      <vt:lpstr>Demanda</vt:lpstr>
      <vt:lpstr>CurvaMod</vt:lpstr>
      <vt:lpstr>Hoja2</vt:lpstr>
      <vt:lpstr>Demanda!Área_de_impresión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Goro</cp:lastModifiedBy>
  <cp:lastPrinted>2012-03-30T03:52:56Z</cp:lastPrinted>
  <dcterms:created xsi:type="dcterms:W3CDTF">2011-03-11T00:31:38Z</dcterms:created>
  <dcterms:modified xsi:type="dcterms:W3CDTF">2015-06-19T03:13:28Z</dcterms:modified>
</cp:coreProperties>
</file>